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" yWindow="570" windowWidth="28455" windowHeight="11955"/>
  </bookViews>
  <sheets>
    <sheet name="Информация" sheetId="2" r:id="rId1"/>
  </sheets>
  <definedNames>
    <definedName name="_xlnm.Print_Titles" localSheetId="0">Информация!$5:$7</definedName>
  </definedNames>
  <calcPr calcId="124519"/>
</workbook>
</file>

<file path=xl/calcChain.xml><?xml version="1.0" encoding="utf-8"?>
<calcChain xmlns="http://schemas.openxmlformats.org/spreadsheetml/2006/main">
  <c r="F89" i="2"/>
  <c r="H89" s="1"/>
  <c r="F87"/>
  <c r="F86"/>
  <c r="F82"/>
  <c r="F81"/>
  <c r="F80"/>
  <c r="F79"/>
  <c r="F78"/>
  <c r="F77"/>
  <c r="E89"/>
  <c r="E87"/>
  <c r="E86"/>
  <c r="E85"/>
  <c r="H85" s="1"/>
  <c r="E83"/>
  <c r="E82"/>
  <c r="E81"/>
  <c r="E80"/>
  <c r="H80" s="1"/>
  <c r="E79"/>
  <c r="E78"/>
  <c r="E77"/>
  <c r="C89"/>
  <c r="C87"/>
  <c r="C86"/>
  <c r="C82"/>
  <c r="C81"/>
  <c r="C80"/>
  <c r="C79"/>
  <c r="C78"/>
  <c r="J78" s="1"/>
  <c r="C77"/>
  <c r="D77" s="1"/>
  <c r="B89"/>
  <c r="B87"/>
  <c r="B86"/>
  <c r="B85"/>
  <c r="D85" s="1"/>
  <c r="B83"/>
  <c r="D83" s="1"/>
  <c r="B82"/>
  <c r="B81"/>
  <c r="B80"/>
  <c r="B79"/>
  <c r="B78"/>
  <c r="B77"/>
  <c r="F76"/>
  <c r="F75"/>
  <c r="F74"/>
  <c r="F73"/>
  <c r="F72"/>
  <c r="I72" s="1"/>
  <c r="F71"/>
  <c r="F70"/>
  <c r="F69"/>
  <c r="F68"/>
  <c r="J68" s="1"/>
  <c r="F67"/>
  <c r="F66"/>
  <c r="F65"/>
  <c r="C76"/>
  <c r="B76"/>
  <c r="E76"/>
  <c r="E75"/>
  <c r="E74"/>
  <c r="E73"/>
  <c r="E72"/>
  <c r="E71"/>
  <c r="E70"/>
  <c r="E69"/>
  <c r="E68"/>
  <c r="E67"/>
  <c r="E66"/>
  <c r="E65"/>
  <c r="E64"/>
  <c r="B75"/>
  <c r="C75"/>
  <c r="C74"/>
  <c r="C73"/>
  <c r="C72"/>
  <c r="C71"/>
  <c r="D71" s="1"/>
  <c r="C70"/>
  <c r="C69"/>
  <c r="D69" s="1"/>
  <c r="C68"/>
  <c r="C67"/>
  <c r="D67" s="1"/>
  <c r="C66"/>
  <c r="C65"/>
  <c r="D65" s="1"/>
  <c r="C64"/>
  <c r="B74"/>
  <c r="B73"/>
  <c r="B72"/>
  <c r="B71"/>
  <c r="B70"/>
  <c r="B69"/>
  <c r="B68"/>
  <c r="B67"/>
  <c r="B66"/>
  <c r="B65"/>
  <c r="B64"/>
  <c r="F64"/>
  <c r="F63"/>
  <c r="F62"/>
  <c r="F61"/>
  <c r="J61" s="1"/>
  <c r="F60"/>
  <c r="F59"/>
  <c r="F58"/>
  <c r="E63"/>
  <c r="E62"/>
  <c r="E61"/>
  <c r="E60"/>
  <c r="E59"/>
  <c r="E58"/>
  <c r="C63"/>
  <c r="C62"/>
  <c r="J62" s="1"/>
  <c r="C61"/>
  <c r="C60"/>
  <c r="C59"/>
  <c r="C58"/>
  <c r="B63"/>
  <c r="B62"/>
  <c r="B61"/>
  <c r="B60"/>
  <c r="B59"/>
  <c r="B58"/>
  <c r="F57"/>
  <c r="F56"/>
  <c r="F55"/>
  <c r="H55" s="1"/>
  <c r="F54"/>
  <c r="F53"/>
  <c r="F52"/>
  <c r="F51"/>
  <c r="H51" s="1"/>
  <c r="E57"/>
  <c r="E56"/>
  <c r="H56" s="1"/>
  <c r="E55"/>
  <c r="E54"/>
  <c r="E53"/>
  <c r="E52"/>
  <c r="H52" s="1"/>
  <c r="E51"/>
  <c r="C57"/>
  <c r="C56"/>
  <c r="C55"/>
  <c r="C54"/>
  <c r="C53"/>
  <c r="C52"/>
  <c r="C51"/>
  <c r="B57"/>
  <c r="B56"/>
  <c r="B55"/>
  <c r="B54"/>
  <c r="B53"/>
  <c r="B52"/>
  <c r="B51"/>
  <c r="C50"/>
  <c r="C49"/>
  <c r="B50"/>
  <c r="B49"/>
  <c r="F50"/>
  <c r="F49"/>
  <c r="F48"/>
  <c r="I48" s="1"/>
  <c r="F47"/>
  <c r="F46"/>
  <c r="F45"/>
  <c r="F44"/>
  <c r="F43"/>
  <c r="F42"/>
  <c r="J42" s="1"/>
  <c r="F41"/>
  <c r="F40"/>
  <c r="F39"/>
  <c r="E50"/>
  <c r="E49"/>
  <c r="H49" s="1"/>
  <c r="E48"/>
  <c r="H48" s="1"/>
  <c r="E47"/>
  <c r="E46"/>
  <c r="H46" s="1"/>
  <c r="E45"/>
  <c r="H45" s="1"/>
  <c r="E44"/>
  <c r="E43"/>
  <c r="E42"/>
  <c r="H42" s="1"/>
  <c r="E41"/>
  <c r="E40"/>
  <c r="E39"/>
  <c r="C47"/>
  <c r="I47" s="1"/>
  <c r="C46"/>
  <c r="C45"/>
  <c r="C44"/>
  <c r="C43"/>
  <c r="C42"/>
  <c r="C41"/>
  <c r="D41" s="1"/>
  <c r="C40"/>
  <c r="C39"/>
  <c r="I39" s="1"/>
  <c r="B47"/>
  <c r="B46"/>
  <c r="B45"/>
  <c r="B44"/>
  <c r="D44" s="1"/>
  <c r="B43"/>
  <c r="B42"/>
  <c r="B41"/>
  <c r="B40"/>
  <c r="D40" s="1"/>
  <c r="B39"/>
  <c r="F38"/>
  <c r="E38"/>
  <c r="C38"/>
  <c r="B38"/>
  <c r="E37"/>
  <c r="H37" s="1"/>
  <c r="B37"/>
  <c r="F36"/>
  <c r="H36" s="1"/>
  <c r="E36"/>
  <c r="C36"/>
  <c r="B36"/>
  <c r="F35"/>
  <c r="E35"/>
  <c r="C35"/>
  <c r="B35"/>
  <c r="F34"/>
  <c r="H34" s="1"/>
  <c r="E34"/>
  <c r="C34"/>
  <c r="B34"/>
  <c r="F33"/>
  <c r="E33"/>
  <c r="C33"/>
  <c r="B33"/>
  <c r="F32"/>
  <c r="E32"/>
  <c r="C32"/>
  <c r="B32"/>
  <c r="F31"/>
  <c r="H31" s="1"/>
  <c r="E31"/>
  <c r="C31"/>
  <c r="B31"/>
  <c r="F30"/>
  <c r="E30"/>
  <c r="C30"/>
  <c r="B30"/>
  <c r="F28"/>
  <c r="E28"/>
  <c r="C28"/>
  <c r="B28"/>
  <c r="F27"/>
  <c r="C27"/>
  <c r="F25"/>
  <c r="E25"/>
  <c r="C25"/>
  <c r="B25"/>
  <c r="F24"/>
  <c r="H24" s="1"/>
  <c r="E24"/>
  <c r="C24"/>
  <c r="B24"/>
  <c r="J69"/>
  <c r="J64"/>
  <c r="J56"/>
  <c r="J26"/>
  <c r="I85"/>
  <c r="I84"/>
  <c r="I83"/>
  <c r="I64"/>
  <c r="I37"/>
  <c r="I26"/>
  <c r="H83"/>
  <c r="H71"/>
  <c r="H67"/>
  <c r="H39"/>
  <c r="F23"/>
  <c r="E23"/>
  <c r="C23"/>
  <c r="B23"/>
  <c r="F22"/>
  <c r="E22"/>
  <c r="C22"/>
  <c r="B22"/>
  <c r="F21"/>
  <c r="J21" s="1"/>
  <c r="E21"/>
  <c r="C21"/>
  <c r="B21"/>
  <c r="F20"/>
  <c r="E20"/>
  <c r="C20"/>
  <c r="B20"/>
  <c r="F19"/>
  <c r="E19"/>
  <c r="C19"/>
  <c r="B19"/>
  <c r="F18"/>
  <c r="H18" s="1"/>
  <c r="F17"/>
  <c r="F16"/>
  <c r="F15"/>
  <c r="F14"/>
  <c r="F13"/>
  <c r="F12"/>
  <c r="F11"/>
  <c r="F10"/>
  <c r="F8"/>
  <c r="E18"/>
  <c r="E17"/>
  <c r="E15"/>
  <c r="E14"/>
  <c r="E13"/>
  <c r="E12"/>
  <c r="E11"/>
  <c r="E10"/>
  <c r="E8"/>
  <c r="C18"/>
  <c r="C17"/>
  <c r="C16"/>
  <c r="C15"/>
  <c r="C14"/>
  <c r="C13"/>
  <c r="C12"/>
  <c r="C11"/>
  <c r="C10"/>
  <c r="C8"/>
  <c r="B18"/>
  <c r="B17"/>
  <c r="B15"/>
  <c r="B14"/>
  <c r="B13"/>
  <c r="B12"/>
  <c r="B11"/>
  <c r="B10"/>
  <c r="B8"/>
  <c r="D37"/>
  <c r="D60"/>
  <c r="J25" l="1"/>
  <c r="J38"/>
  <c r="J55"/>
  <c r="J53"/>
  <c r="J57"/>
  <c r="D63"/>
  <c r="I30"/>
  <c r="I33"/>
  <c r="D11"/>
  <c r="D15"/>
  <c r="I14"/>
  <c r="J18"/>
  <c r="J11"/>
  <c r="I15"/>
  <c r="D21"/>
  <c r="D8"/>
  <c r="I8"/>
  <c r="I13"/>
  <c r="J17"/>
  <c r="H19"/>
  <c r="H21"/>
  <c r="J19"/>
  <c r="I21"/>
  <c r="H73"/>
  <c r="J40"/>
  <c r="D73"/>
  <c r="J81"/>
  <c r="I19"/>
  <c r="J52"/>
  <c r="I71"/>
  <c r="J44"/>
  <c r="J66"/>
  <c r="J70"/>
  <c r="J74"/>
  <c r="D47"/>
  <c r="H23"/>
  <c r="I63"/>
  <c r="J15"/>
  <c r="I66"/>
  <c r="H8"/>
  <c r="J33"/>
  <c r="J8"/>
  <c r="J23"/>
  <c r="I25"/>
  <c r="I17"/>
  <c r="I20"/>
  <c r="I22"/>
  <c r="H40"/>
  <c r="I73"/>
  <c r="J59"/>
  <c r="I77"/>
  <c r="J13"/>
  <c r="D14"/>
  <c r="J10"/>
  <c r="J14"/>
  <c r="H22"/>
  <c r="J22"/>
  <c r="I23"/>
  <c r="J41"/>
  <c r="J58"/>
  <c r="D66"/>
  <c r="D70"/>
  <c r="D74"/>
  <c r="I67"/>
  <c r="J71"/>
  <c r="J75"/>
  <c r="H57"/>
  <c r="J77"/>
  <c r="I32"/>
  <c r="D61"/>
  <c r="J79"/>
  <c r="J63"/>
  <c r="I18"/>
  <c r="D12"/>
  <c r="H13"/>
  <c r="J12"/>
  <c r="J16"/>
  <c r="H20"/>
  <c r="J20"/>
  <c r="J73"/>
  <c r="D30"/>
  <c r="J39"/>
  <c r="J43"/>
  <c r="J47"/>
  <c r="J54"/>
  <c r="D64"/>
  <c r="D68"/>
  <c r="D72"/>
  <c r="J65"/>
  <c r="I69"/>
  <c r="I78"/>
  <c r="J82"/>
  <c r="I89"/>
  <c r="H87"/>
  <c r="J87"/>
  <c r="J86"/>
  <c r="H86"/>
  <c r="H82"/>
  <c r="I82"/>
  <c r="H81"/>
  <c r="I80"/>
  <c r="H79"/>
  <c r="I79"/>
  <c r="H78"/>
  <c r="H77"/>
  <c r="D89"/>
  <c r="J89"/>
  <c r="I87"/>
  <c r="D87"/>
  <c r="D86"/>
  <c r="I86"/>
  <c r="D82"/>
  <c r="D81"/>
  <c r="I81"/>
  <c r="J80"/>
  <c r="D80"/>
  <c r="D79"/>
  <c r="D78"/>
  <c r="H76"/>
  <c r="J76"/>
  <c r="I75"/>
  <c r="H75"/>
  <c r="I74"/>
  <c r="H74"/>
  <c r="J72"/>
  <c r="H72"/>
  <c r="I70"/>
  <c r="H70"/>
  <c r="H69"/>
  <c r="I68"/>
  <c r="H68"/>
  <c r="J67"/>
  <c r="H66"/>
  <c r="I65"/>
  <c r="H65"/>
  <c r="D76"/>
  <c r="I76"/>
  <c r="H64"/>
  <c r="D75"/>
  <c r="H63"/>
  <c r="I62"/>
  <c r="H62"/>
  <c r="H61"/>
  <c r="I60"/>
  <c r="H60"/>
  <c r="I59"/>
  <c r="H59"/>
  <c r="I58"/>
  <c r="H58"/>
  <c r="D62"/>
  <c r="I61"/>
  <c r="J60"/>
  <c r="D59"/>
  <c r="D58"/>
  <c r="I57"/>
  <c r="I56"/>
  <c r="I55"/>
  <c r="H54"/>
  <c r="I54"/>
  <c r="H53"/>
  <c r="I53"/>
  <c r="I52"/>
  <c r="J51"/>
  <c r="I51"/>
  <c r="D57"/>
  <c r="D56"/>
  <c r="D55"/>
  <c r="D54"/>
  <c r="D53"/>
  <c r="D52"/>
  <c r="D51"/>
  <c r="J50"/>
  <c r="D50"/>
  <c r="I49"/>
  <c r="D49"/>
  <c r="H50"/>
  <c r="I50"/>
  <c r="J49"/>
  <c r="H47"/>
  <c r="I46"/>
  <c r="I45"/>
  <c r="I44"/>
  <c r="H44"/>
  <c r="H43"/>
  <c r="I43"/>
  <c r="I42"/>
  <c r="I41"/>
  <c r="H41"/>
  <c r="I40"/>
  <c r="J46"/>
  <c r="D46"/>
  <c r="J45"/>
  <c r="D45"/>
  <c r="D43"/>
  <c r="D42"/>
  <c r="D39"/>
  <c r="H38"/>
  <c r="D38"/>
  <c r="I38"/>
  <c r="I36"/>
  <c r="D36"/>
  <c r="J36"/>
  <c r="H35"/>
  <c r="J35"/>
  <c r="D35"/>
  <c r="I35"/>
  <c r="J34"/>
  <c r="D34"/>
  <c r="I34"/>
  <c r="H33"/>
  <c r="D33"/>
  <c r="H32"/>
  <c r="J32"/>
  <c r="D32"/>
  <c r="J31"/>
  <c r="I31"/>
  <c r="D31"/>
  <c r="H30"/>
  <c r="J30"/>
  <c r="H28"/>
  <c r="I28"/>
  <c r="J28"/>
  <c r="D28"/>
  <c r="J27"/>
  <c r="I27"/>
  <c r="H25"/>
  <c r="D25"/>
  <c r="J24"/>
  <c r="D24"/>
  <c r="I24"/>
  <c r="D23"/>
  <c r="D22"/>
  <c r="D20"/>
  <c r="D19"/>
  <c r="H17"/>
  <c r="I16"/>
  <c r="H15"/>
  <c r="H14"/>
  <c r="I12"/>
  <c r="H12"/>
  <c r="H11"/>
  <c r="I11"/>
  <c r="H10"/>
  <c r="I10"/>
  <c r="D18"/>
  <c r="D17"/>
  <c r="D13"/>
  <c r="D10"/>
</calcChain>
</file>

<file path=xl/sharedStrings.xml><?xml version="1.0" encoding="utf-8"?>
<sst xmlns="http://schemas.openxmlformats.org/spreadsheetml/2006/main" count="108" uniqueCount="100">
  <si>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</si>
  <si>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</si>
  <si>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</si>
  <si>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</si>
  <si>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</si>
  <si>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</si>
  <si>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</si>
  <si>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</si>
  <si>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</si>
  <si>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</si>
  <si>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</si>
  <si>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</si>
  <si>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</si>
  <si>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</si>
  <si>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</si>
  <si>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</si>
  <si>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</si>
  <si>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</si>
  <si>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</si>
  <si>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</si>
  <si>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</si>
  <si>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</si>
  <si>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</si>
  <si>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</si>
  <si>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</si>
  <si>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</si>
  <si>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</si>
  <si>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</si>
  <si>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</si>
  <si>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</si>
  <si>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</si>
  <si>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</si>
  <si>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</si>
  <si>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</si>
  <si>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</si>
  <si>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</si>
  <si>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</si>
  <si>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</si>
  <si>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</si>
  <si>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</si>
  <si>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</si>
  <si>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</si>
  <si>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</si>
  <si>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</si>
  <si>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Лесное хозяйство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</si>
  <si>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</si>
  <si>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</si>
  <si>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</si>
  <si>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</si>
  <si>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</si>
  <si>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</si>
  <si>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</si>
  <si>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</si>
  <si>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</si>
  <si>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</si>
  <si>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</si>
  <si>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</si>
  <si>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</si>
  <si>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</si>
  <si>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</si>
  <si>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Молодежная политика и оздоровление детей12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</si>
  <si>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</si>
  <si>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</si>
  <si>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</si>
  <si>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</si>
  <si>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</si>
  <si>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</si>
  <si>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обслуживание населения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</si>
  <si>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</si>
  <si>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</si>
  <si>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</si>
  <si>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</si>
  <si>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</si>
  <si>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</si>
  <si>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</si>
  <si>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</si>
  <si>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</si>
  <si>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</si>
  <si>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</si>
  <si>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</si>
  <si>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</si>
  <si>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</si>
  <si>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</si>
  <si>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</si>
  <si>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</si>
  <si>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</si>
  <si>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</si>
  <si>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>на 01.01.2019</t>
  </si>
  <si>
    <t xml:space="preserve">  НАЛОГИ НА  ДОХОДЫ ФИЗИЧЕСКИХ ЛИЦ</t>
  </si>
  <si>
    <t>на 01.01.2018</t>
  </si>
  <si>
    <t>% исполнения за 2017 год</t>
  </si>
  <si>
    <t>5=4/3*100</t>
  </si>
  <si>
    <t>8=7/8*100</t>
  </si>
  <si>
    <t>% исполнения за 2018 год</t>
  </si>
  <si>
    <t>Отклонение</t>
  </si>
  <si>
    <t>темп роста</t>
  </si>
  <si>
    <t>9=7-4</t>
  </si>
  <si>
    <t>10=7/4*100</t>
  </si>
  <si>
    <t xml:space="preserve"> </t>
  </si>
  <si>
    <t>Сопоставимая информация об исполнении консолидированного бюджета Всеволожского муниципального района Ленинградской области за 2018 год по отношению к 2017 году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</si>
</sst>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Arial"/>
      <family val="2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2">
    <xf numFmtId="0" fontId="0" fillId="0" borderId="0" xfId="0"/>
    <xf numFmtId="0" fontId="21" fillId="4" borderId="0" xfId="0" applyFont="1" applyFill="1" applyProtection="1">
      <protection locked="0"/>
    </xf>
    <xf numFmtId="49" fontId="20" fillId="4" borderId="50" xfId="39" applyFont="1" applyFill="1" applyBorder="1" applyProtection="1">
      <alignment horizontal="center" vertical="center" wrapText="1"/>
    </xf>
    <xf numFmtId="49" fontId="20" fillId="4" borderId="49" xfId="39" applyFont="1" applyFill="1" applyBorder="1" applyProtection="1">
      <alignment horizontal="center" vertical="center" wrapText="1"/>
    </xf>
    <xf numFmtId="0" fontId="20" fillId="4" borderId="49" xfId="10" applyNumberFormat="1" applyFont="1" applyFill="1" applyBorder="1" applyProtection="1"/>
    <xf numFmtId="0" fontId="20" fillId="4" borderId="51" xfId="40" applyNumberFormat="1" applyFont="1" applyFill="1" applyBorder="1" applyProtection="1">
      <alignment horizontal="center" vertical="center" wrapText="1"/>
    </xf>
    <xf numFmtId="0" fontId="20" fillId="4" borderId="49" xfId="40" applyNumberFormat="1" applyFont="1" applyFill="1" applyBorder="1" applyProtection="1">
      <alignment horizontal="center" vertical="center" wrapText="1"/>
    </xf>
    <xf numFmtId="0" fontId="20" fillId="4" borderId="52" xfId="6" applyNumberFormat="1" applyFont="1" applyFill="1" applyBorder="1" applyProtection="1"/>
    <xf numFmtId="0" fontId="21" fillId="4" borderId="52" xfId="0" applyFont="1" applyFill="1" applyBorder="1" applyProtection="1">
      <protection locked="0"/>
    </xf>
    <xf numFmtId="49" fontId="21" fillId="4" borderId="1" xfId="0" applyNumberFormat="1" applyFont="1" applyFill="1" applyBorder="1" applyProtection="1">
      <protection locked="0"/>
    </xf>
    <xf numFmtId="49" fontId="20" fillId="4" borderId="49" xfId="41" applyFont="1" applyFill="1" applyBorder="1" applyProtection="1">
      <alignment horizontal="center" vertical="center" wrapText="1"/>
    </xf>
    <xf numFmtId="49" fontId="21" fillId="4" borderId="49" xfId="0" applyNumberFormat="1" applyFont="1" applyFill="1" applyBorder="1" applyProtection="1">
      <protection locked="0"/>
    </xf>
    <xf numFmtId="0" fontId="20" fillId="4" borderId="49" xfId="42" applyNumberFormat="1" applyFont="1" applyFill="1" applyBorder="1" applyProtection="1">
      <alignment horizontal="left" wrapText="1"/>
    </xf>
    <xf numFmtId="4" fontId="20" fillId="4" borderId="53" xfId="45" applyFont="1" applyFill="1" applyBorder="1" applyProtection="1">
      <alignment horizontal="right"/>
    </xf>
    <xf numFmtId="4" fontId="20" fillId="4" borderId="17" xfId="45" applyFont="1" applyFill="1" applyProtection="1">
      <alignment horizontal="right"/>
    </xf>
    <xf numFmtId="4" fontId="20" fillId="4" borderId="56" xfId="45" applyFont="1" applyFill="1" applyBorder="1" applyProtection="1">
      <alignment horizontal="right"/>
    </xf>
    <xf numFmtId="4" fontId="20" fillId="4" borderId="49" xfId="45" applyFont="1" applyFill="1" applyBorder="1" applyProtection="1">
      <alignment horizontal="right"/>
    </xf>
    <xf numFmtId="0" fontId="20" fillId="4" borderId="49" xfId="17" applyNumberFormat="1" applyFont="1" applyFill="1" applyBorder="1" applyProtection="1"/>
    <xf numFmtId="2" fontId="20" fillId="4" borderId="49" xfId="17" applyNumberFormat="1" applyFont="1" applyFill="1" applyBorder="1" applyProtection="1"/>
    <xf numFmtId="4" fontId="21" fillId="4" borderId="49" xfId="0" applyNumberFormat="1" applyFont="1" applyFill="1" applyBorder="1" applyProtection="1">
      <protection locked="0"/>
    </xf>
    <xf numFmtId="2" fontId="21" fillId="4" borderId="49" xfId="0" applyNumberFormat="1" applyFont="1" applyFill="1" applyBorder="1" applyProtection="1">
      <protection locked="0"/>
    </xf>
    <xf numFmtId="0" fontId="20" fillId="4" borderId="49" xfId="47" applyNumberFormat="1" applyFont="1" applyFill="1" applyBorder="1" applyProtection="1">
      <alignment horizontal="left" wrapText="1" indent="1"/>
    </xf>
    <xf numFmtId="49" fontId="20" fillId="4" borderId="49" xfId="49" applyFont="1" applyFill="1" applyBorder="1" applyProtection="1">
      <alignment horizontal="center"/>
    </xf>
    <xf numFmtId="49" fontId="20" fillId="4" borderId="23" xfId="49" applyFont="1" applyFill="1" applyProtection="1">
      <alignment horizontal="center"/>
    </xf>
    <xf numFmtId="0" fontId="20" fillId="4" borderId="49" xfId="51" applyNumberFormat="1" applyFont="1" applyFill="1" applyBorder="1" applyProtection="1">
      <alignment horizontal="left" wrapText="1" indent="2"/>
    </xf>
    <xf numFmtId="4" fontId="20" fillId="4" borderId="49" xfId="54" applyFont="1" applyFill="1" applyBorder="1" applyProtection="1">
      <alignment horizontal="right"/>
    </xf>
    <xf numFmtId="4" fontId="20" fillId="4" borderId="26" xfId="54" applyFont="1" applyFill="1" applyProtection="1">
      <alignment horizontal="right"/>
    </xf>
    <xf numFmtId="0" fontId="17" fillId="4" borderId="49" xfId="66" applyNumberFormat="1" applyFont="1" applyFill="1" applyBorder="1" applyProtection="1">
      <alignment horizontal="left" wrapText="1"/>
    </xf>
    <xf numFmtId="4" fontId="17" fillId="4" borderId="49" xfId="54" applyFont="1" applyFill="1" applyBorder="1" applyProtection="1">
      <alignment horizontal="right"/>
    </xf>
    <xf numFmtId="0" fontId="18" fillId="4" borderId="49" xfId="0" applyFont="1" applyFill="1" applyBorder="1" applyProtection="1">
      <protection locked="0"/>
    </xf>
    <xf numFmtId="0" fontId="18" fillId="4" borderId="0" xfId="0" applyFont="1" applyFill="1" applyProtection="1">
      <protection locked="0"/>
    </xf>
    <xf numFmtId="0" fontId="17" fillId="4" borderId="49" xfId="69" applyNumberFormat="1" applyFont="1" applyFill="1" applyBorder="1" applyProtection="1">
      <alignment horizontal="left" wrapText="1" indent="1"/>
    </xf>
    <xf numFmtId="49" fontId="20" fillId="4" borderId="17" xfId="71" applyFont="1" applyFill="1" applyProtection="1">
      <alignment horizontal="center"/>
    </xf>
    <xf numFmtId="49" fontId="17" fillId="4" borderId="49" xfId="71" applyFont="1" applyFill="1" applyBorder="1" applyProtection="1">
      <alignment horizontal="center"/>
    </xf>
    <xf numFmtId="0" fontId="17" fillId="4" borderId="49" xfId="51" applyNumberFormat="1" applyFont="1" applyFill="1" applyBorder="1" applyProtection="1">
      <alignment horizontal="left" wrapText="1" indent="2"/>
    </xf>
    <xf numFmtId="0" fontId="19" fillId="4" borderId="49" xfId="74" applyNumberFormat="1" applyFont="1" applyFill="1" applyBorder="1" applyProtection="1">
      <alignment horizontal="left" wrapText="1"/>
    </xf>
    <xf numFmtId="4" fontId="20" fillId="4" borderId="20" xfId="77" applyFont="1" applyFill="1" applyProtection="1">
      <alignment horizontal="right"/>
    </xf>
    <xf numFmtId="4" fontId="20" fillId="4" borderId="49" xfId="77" applyFont="1" applyFill="1" applyBorder="1" applyProtection="1">
      <alignment horizontal="right"/>
    </xf>
    <xf numFmtId="0" fontId="20" fillId="4" borderId="49" xfId="83" applyNumberFormat="1" applyFont="1" applyFill="1" applyBorder="1" applyProtection="1">
      <alignment horizontal="left" wrapText="1"/>
    </xf>
    <xf numFmtId="4" fontId="20" fillId="4" borderId="23" xfId="45" applyFont="1" applyFill="1" applyBorder="1" applyProtection="1">
      <alignment horizontal="right"/>
    </xf>
    <xf numFmtId="0" fontId="21" fillId="4" borderId="49" xfId="0" applyFont="1" applyFill="1" applyBorder="1" applyProtection="1">
      <protection locked="0"/>
    </xf>
    <xf numFmtId="0" fontId="20" fillId="4" borderId="49" xfId="85" applyNumberFormat="1" applyFont="1" applyFill="1" applyBorder="1" applyProtection="1">
      <alignment horizontal="left" wrapText="1"/>
    </xf>
    <xf numFmtId="4" fontId="20" fillId="4" borderId="12" xfId="45" applyFont="1" applyFill="1" applyBorder="1" applyProtection="1">
      <alignment horizontal="right"/>
    </xf>
    <xf numFmtId="0" fontId="20" fillId="4" borderId="49" xfId="89" applyNumberFormat="1" applyFont="1" applyFill="1" applyBorder="1" applyProtection="1">
      <alignment horizontal="left" wrapText="1" indent="1"/>
    </xf>
    <xf numFmtId="49" fontId="20" fillId="4" borderId="57" xfId="39" applyFont="1" applyFill="1" applyBorder="1" applyProtection="1">
      <alignment horizontal="center" vertical="center" wrapText="1"/>
    </xf>
    <xf numFmtId="0" fontId="20" fillId="4" borderId="58" xfId="40" applyNumberFormat="1" applyFont="1" applyFill="1" applyBorder="1" applyProtection="1">
      <alignment horizontal="center" vertical="center" wrapText="1"/>
    </xf>
    <xf numFmtId="0" fontId="21" fillId="4" borderId="49" xfId="0" applyFont="1" applyFill="1" applyBorder="1" applyAlignment="1" applyProtection="1">
      <alignment horizontal="center" vertical="center"/>
      <protection locked="0"/>
    </xf>
    <xf numFmtId="49" fontId="20" fillId="4" borderId="49" xfId="39" applyFont="1" applyFill="1" applyBorder="1" applyAlignment="1" applyProtection="1">
      <alignment horizontal="center" vertical="center" wrapText="1"/>
    </xf>
    <xf numFmtId="0" fontId="20" fillId="4" borderId="1" xfId="20" applyNumberFormat="1" applyFont="1" applyFill="1" applyAlignment="1" applyProtection="1">
      <alignment horizontal="center"/>
    </xf>
    <xf numFmtId="0" fontId="20" fillId="4" borderId="54" xfId="6" applyNumberFormat="1" applyFont="1" applyFill="1" applyBorder="1" applyAlignment="1" applyProtection="1">
      <alignment horizontal="center"/>
    </xf>
    <xf numFmtId="0" fontId="20" fillId="4" borderId="55" xfId="6" applyNumberFormat="1" applyFont="1" applyFill="1" applyBorder="1" applyAlignment="1" applyProtection="1">
      <alignment horizontal="center"/>
    </xf>
    <xf numFmtId="49" fontId="20" fillId="4" borderId="49" xfId="25" applyFont="1" applyFill="1" applyBorder="1" applyAlignment="1" applyProtection="1">
      <alignment horizontal="center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"/>
  <sheetViews>
    <sheetView tabSelected="1" zoomScale="85" zoomScaleNormal="85" workbookViewId="0">
      <selection sqref="A1:J3"/>
    </sheetView>
  </sheetViews>
  <sheetFormatPr defaultRowHeight="18.75"/>
  <cols>
    <col min="1" max="1" width="74.85546875" style="1" customWidth="1"/>
    <col min="2" max="2" width="26" style="1" customWidth="1"/>
    <col min="3" max="3" width="27.28515625" style="1" customWidth="1"/>
    <col min="4" max="4" width="21.28515625" style="1" customWidth="1"/>
    <col min="5" max="5" width="29.28515625" style="1" customWidth="1"/>
    <col min="6" max="6" width="26.140625" style="1" customWidth="1"/>
    <col min="7" max="7" width="9.140625" style="1" hidden="1"/>
    <col min="8" max="8" width="24.5703125" style="1" customWidth="1"/>
    <col min="9" max="9" width="23.5703125" style="1" customWidth="1"/>
    <col min="10" max="10" width="21.7109375" style="1" customWidth="1"/>
    <col min="11" max="16384" width="9.140625" style="1"/>
  </cols>
  <sheetData>
    <row r="1" spans="1:10">
      <c r="A1" s="48" t="s">
        <v>99</v>
      </c>
      <c r="B1" s="48"/>
      <c r="C1" s="48"/>
      <c r="D1" s="48"/>
      <c r="E1" s="48"/>
      <c r="F1" s="48"/>
      <c r="G1" s="48"/>
      <c r="H1" s="48"/>
      <c r="I1" s="48"/>
      <c r="J1" s="48"/>
    </row>
    <row r="2" spans="1:10">
      <c r="A2" s="48"/>
      <c r="B2" s="48"/>
      <c r="C2" s="48"/>
      <c r="D2" s="48"/>
      <c r="E2" s="48"/>
      <c r="F2" s="48"/>
      <c r="G2" s="48"/>
      <c r="H2" s="48"/>
      <c r="I2" s="48"/>
      <c r="J2" s="48"/>
    </row>
    <row r="3" spans="1:10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ht="18.75" customHeight="1">
      <c r="A4" s="47" t="s">
        <v>0</v>
      </c>
      <c r="B4" s="49" t="s">
        <v>89</v>
      </c>
      <c r="C4" s="50"/>
      <c r="D4" s="50"/>
      <c r="E4" s="51" t="s">
        <v>87</v>
      </c>
      <c r="F4" s="51"/>
      <c r="G4" s="51"/>
      <c r="H4" s="51"/>
      <c r="I4" s="46" t="s">
        <v>94</v>
      </c>
      <c r="J4" s="46" t="s">
        <v>95</v>
      </c>
    </row>
    <row r="5" spans="1:10" ht="56.25">
      <c r="A5" s="47"/>
      <c r="B5" s="2" t="s">
        <v>1</v>
      </c>
      <c r="C5" s="44" t="s">
        <v>2</v>
      </c>
      <c r="D5" s="47" t="s">
        <v>90</v>
      </c>
      <c r="E5" s="3" t="s">
        <v>1</v>
      </c>
      <c r="F5" s="3" t="s">
        <v>2</v>
      </c>
      <c r="G5" s="4"/>
      <c r="H5" s="47" t="s">
        <v>93</v>
      </c>
      <c r="I5" s="46"/>
      <c r="J5" s="46"/>
    </row>
    <row r="6" spans="1:10" ht="150">
      <c r="A6" s="47"/>
      <c r="B6" s="5" t="s">
        <v>3</v>
      </c>
      <c r="C6" s="45" t="s">
        <v>3</v>
      </c>
      <c r="D6" s="47"/>
      <c r="E6" s="6" t="s">
        <v>3</v>
      </c>
      <c r="F6" s="6" t="s">
        <v>3</v>
      </c>
      <c r="G6" s="4"/>
      <c r="H6" s="47"/>
      <c r="I6" s="46"/>
      <c r="J6" s="46"/>
    </row>
    <row r="7" spans="1:10" ht="19.5" thickBot="1">
      <c r="A7" s="3" t="s">
        <v>4</v>
      </c>
      <c r="B7" s="7">
        <v>3</v>
      </c>
      <c r="C7" s="8">
        <v>4</v>
      </c>
      <c r="D7" s="9" t="s">
        <v>91</v>
      </c>
      <c r="E7" s="10" t="s">
        <v>5</v>
      </c>
      <c r="F7" s="10" t="s">
        <v>6</v>
      </c>
      <c r="G7" s="4"/>
      <c r="H7" s="4" t="s">
        <v>92</v>
      </c>
      <c r="I7" s="11" t="s">
        <v>96</v>
      </c>
      <c r="J7" s="11" t="s">
        <v>97</v>
      </c>
    </row>
    <row r="8" spans="1:10">
      <c r="A8" s="12" t="s">
        <v>7</v>
      </c>
      <c r="B8" s="13">
        <f>12937663943.7/1000</f>
        <v>12937663.943700001</v>
      </c>
      <c r="C8" s="14">
        <f>12791157423.7/1000</f>
        <v>12791157.423700001</v>
      </c>
      <c r="D8" s="15">
        <f>C8/B8*100</f>
        <v>98.867596803893321</v>
      </c>
      <c r="E8" s="16">
        <f>15692276266.58/1000</f>
        <v>15692276.266580001</v>
      </c>
      <c r="F8" s="16">
        <f>15938845967.81/1000</f>
        <v>15938845.967809999</v>
      </c>
      <c r="G8" s="17"/>
      <c r="H8" s="18">
        <f>F8/E8*100</f>
        <v>101.57128065451613</v>
      </c>
      <c r="I8" s="19">
        <f>F8-C8</f>
        <v>3147688.5441099983</v>
      </c>
      <c r="J8" s="20">
        <f>F8/C8*100</f>
        <v>124.60831682266553</v>
      </c>
    </row>
    <row r="9" spans="1:10">
      <c r="A9" s="21" t="s">
        <v>8</v>
      </c>
      <c r="B9" s="22"/>
      <c r="C9" s="23"/>
      <c r="D9" s="15"/>
      <c r="E9" s="22"/>
      <c r="F9" s="22"/>
      <c r="G9" s="17"/>
      <c r="H9" s="18"/>
      <c r="I9" s="19"/>
      <c r="J9" s="20"/>
    </row>
    <row r="10" spans="1:10">
      <c r="A10" s="24" t="s">
        <v>9</v>
      </c>
      <c r="B10" s="25">
        <f>5935025728.14/1000</f>
        <v>5935025.7281400003</v>
      </c>
      <c r="C10" s="26">
        <f>6133966772.59/1000</f>
        <v>6133966.7725900002</v>
      </c>
      <c r="D10" s="15">
        <f t="shared" ref="D10:D72" si="0">C10/B10*100</f>
        <v>103.35198284830935</v>
      </c>
      <c r="E10" s="25">
        <f>6400901437.43/1000</f>
        <v>6400901.4374299999</v>
      </c>
      <c r="F10" s="25">
        <f>6825914135.9/1000</f>
        <v>6825914.1358999992</v>
      </c>
      <c r="G10" s="17"/>
      <c r="H10" s="18">
        <f t="shared" ref="H10:H73" si="1">F10/E10*100</f>
        <v>106.63988818800878</v>
      </c>
      <c r="I10" s="19">
        <f t="shared" ref="I10:I72" si="2">F10-C10</f>
        <v>691947.363309999</v>
      </c>
      <c r="J10" s="20">
        <f t="shared" ref="J10:J73" si="3">F10/C10*100</f>
        <v>111.28058545087018</v>
      </c>
    </row>
    <row r="11" spans="1:10">
      <c r="A11" s="24" t="s">
        <v>88</v>
      </c>
      <c r="B11" s="25">
        <f>2446298634.88/1000</f>
        <v>2446298.6348800003</v>
      </c>
      <c r="C11" s="26">
        <f>2576638110.18/1000</f>
        <v>2576638.1101799998</v>
      </c>
      <c r="D11" s="15">
        <f t="shared" si="0"/>
        <v>105.32802796198237</v>
      </c>
      <c r="E11" s="25">
        <f>2705327698.91/1000</f>
        <v>2705327.6989099998</v>
      </c>
      <c r="F11" s="25">
        <f>2887373780.98/1000</f>
        <v>2887373.7809799998</v>
      </c>
      <c r="G11" s="17"/>
      <c r="H11" s="18">
        <f t="shared" si="1"/>
        <v>106.72916934031127</v>
      </c>
      <c r="I11" s="19">
        <f t="shared" si="2"/>
        <v>310735.67079999996</v>
      </c>
      <c r="J11" s="20">
        <f t="shared" si="3"/>
        <v>112.05973278018047</v>
      </c>
    </row>
    <row r="12" spans="1:10">
      <c r="A12" s="24" t="s">
        <v>86</v>
      </c>
      <c r="B12" s="25">
        <f>36418071.22/1000</f>
        <v>36418.071219999998</v>
      </c>
      <c r="C12" s="26">
        <f>32318009.88/1000</f>
        <v>32318.009879999998</v>
      </c>
      <c r="D12" s="15">
        <f t="shared" si="0"/>
        <v>88.741684546576593</v>
      </c>
      <c r="E12" s="25">
        <f>37511444.12/1000</f>
        <v>37511.44412</v>
      </c>
      <c r="F12" s="25">
        <f>37299541.74/1000</f>
        <v>37299.541740000001</v>
      </c>
      <c r="G12" s="17"/>
      <c r="H12" s="18">
        <f t="shared" si="1"/>
        <v>99.435099381079226</v>
      </c>
      <c r="I12" s="19">
        <f t="shared" si="2"/>
        <v>4981.5318600000028</v>
      </c>
      <c r="J12" s="20">
        <f t="shared" si="3"/>
        <v>115.41410463854962</v>
      </c>
    </row>
    <row r="13" spans="1:10">
      <c r="A13" s="24" t="s">
        <v>10</v>
      </c>
      <c r="B13" s="25">
        <f>830355744.25/1000</f>
        <v>830355.74424999999</v>
      </c>
      <c r="C13" s="26">
        <f>849720188/1000</f>
        <v>849720.18799999997</v>
      </c>
      <c r="D13" s="15">
        <f t="shared" si="0"/>
        <v>102.33206597101227</v>
      </c>
      <c r="E13" s="25">
        <f>1156512422/1000</f>
        <v>1156512.422</v>
      </c>
      <c r="F13" s="25">
        <f>1171716574.42/1000</f>
        <v>1171716.57442</v>
      </c>
      <c r="G13" s="17"/>
      <c r="H13" s="18">
        <f t="shared" si="1"/>
        <v>101.31465534920126</v>
      </c>
      <c r="I13" s="19">
        <f t="shared" si="2"/>
        <v>321996.38642</v>
      </c>
      <c r="J13" s="20">
        <f t="shared" si="3"/>
        <v>137.89440229469986</v>
      </c>
    </row>
    <row r="14" spans="1:10">
      <c r="A14" s="24" t="s">
        <v>11</v>
      </c>
      <c r="B14" s="25">
        <f>1383887791.76/1000</f>
        <v>1383887.7917599999</v>
      </c>
      <c r="C14" s="26">
        <f>1432138727.21/1000</f>
        <v>1432138.7272099999</v>
      </c>
      <c r="D14" s="15">
        <f t="shared" si="0"/>
        <v>103.48662194560121</v>
      </c>
      <c r="E14" s="25">
        <f>1411562617.74/1000</f>
        <v>1411562.6177399999</v>
      </c>
      <c r="F14" s="25">
        <f>1445083303.58/1000</f>
        <v>1445083.3035799998</v>
      </c>
      <c r="G14" s="17"/>
      <c r="H14" s="18">
        <f t="shared" si="1"/>
        <v>102.37472184504777</v>
      </c>
      <c r="I14" s="19">
        <f t="shared" si="2"/>
        <v>12944.576369999908</v>
      </c>
      <c r="J14" s="20">
        <f t="shared" si="3"/>
        <v>100.90386330067463</v>
      </c>
    </row>
    <row r="15" spans="1:10">
      <c r="A15" s="24" t="s">
        <v>12</v>
      </c>
      <c r="B15" s="25">
        <f>42290000/1000</f>
        <v>42290</v>
      </c>
      <c r="C15" s="26">
        <f>43845591.61/1000</f>
        <v>43845.591609999996</v>
      </c>
      <c r="D15" s="15">
        <f t="shared" si="0"/>
        <v>103.67839113265546</v>
      </c>
      <c r="E15" s="25">
        <f>48057000/1000</f>
        <v>48057</v>
      </c>
      <c r="F15" s="25">
        <f>50143973.31/1000</f>
        <v>50143.973310000001</v>
      </c>
      <c r="G15" s="17"/>
      <c r="H15" s="18">
        <f t="shared" si="1"/>
        <v>104.34270410137962</v>
      </c>
      <c r="I15" s="19">
        <f t="shared" si="2"/>
        <v>6298.3817000000054</v>
      </c>
      <c r="J15" s="20">
        <f t="shared" si="3"/>
        <v>114.36491439327168</v>
      </c>
    </row>
    <row r="16" spans="1:10" ht="56.25">
      <c r="A16" s="24" t="s">
        <v>13</v>
      </c>
      <c r="B16" s="25">
        <v>0</v>
      </c>
      <c r="C16" s="26">
        <f>10877.89/1000</f>
        <v>10.877889999999999</v>
      </c>
      <c r="D16" s="15"/>
      <c r="E16" s="25">
        <v>0</v>
      </c>
      <c r="F16" s="25">
        <f>2758.69/1000</f>
        <v>2.7586900000000001</v>
      </c>
      <c r="G16" s="17"/>
      <c r="H16" s="18">
        <v>0</v>
      </c>
      <c r="I16" s="19">
        <f t="shared" si="2"/>
        <v>-8.1191999999999993</v>
      </c>
      <c r="J16" s="20">
        <f t="shared" si="3"/>
        <v>25.36052488120399</v>
      </c>
    </row>
    <row r="17" spans="1:10" ht="56.25">
      <c r="A17" s="24" t="s">
        <v>14</v>
      </c>
      <c r="B17" s="25">
        <f>513021997.67/1000</f>
        <v>513021.99767000001</v>
      </c>
      <c r="C17" s="26">
        <f>516124680.59/1000</f>
        <v>516124.68058999995</v>
      </c>
      <c r="D17" s="15">
        <f t="shared" si="0"/>
        <v>100.60478555190448</v>
      </c>
      <c r="E17" s="25">
        <f>503109415.8/1000</f>
        <v>503109.41580000002</v>
      </c>
      <c r="F17" s="25">
        <f>603199500.66/1000</f>
        <v>603199.50066000002</v>
      </c>
      <c r="G17" s="17"/>
      <c r="H17" s="18">
        <f t="shared" si="1"/>
        <v>119.89429768489734</v>
      </c>
      <c r="I17" s="19">
        <f t="shared" si="2"/>
        <v>87074.820070000074</v>
      </c>
      <c r="J17" s="20">
        <f t="shared" si="3"/>
        <v>116.87088863304538</v>
      </c>
    </row>
    <row r="18" spans="1:10" ht="37.5">
      <c r="A18" s="24" t="s">
        <v>15</v>
      </c>
      <c r="B18" s="25">
        <f>90000000/1000</f>
        <v>90000</v>
      </c>
      <c r="C18" s="26">
        <f>89905107.46/1000</f>
        <v>89905.107459999999</v>
      </c>
      <c r="D18" s="15">
        <f t="shared" si="0"/>
        <v>99.894563844444434</v>
      </c>
      <c r="E18" s="25">
        <f>80200000/1000</f>
        <v>80200</v>
      </c>
      <c r="F18" s="25">
        <f>80381049.97/1000</f>
        <v>80381.049969999993</v>
      </c>
      <c r="G18" s="17"/>
      <c r="H18" s="18">
        <f t="shared" si="1"/>
        <v>100.22574809226931</v>
      </c>
      <c r="I18" s="19">
        <f t="shared" si="2"/>
        <v>-9524.0574900000065</v>
      </c>
      <c r="J18" s="20">
        <f t="shared" si="3"/>
        <v>89.406544567851839</v>
      </c>
    </row>
    <row r="19" spans="1:10" ht="37.5">
      <c r="A19" s="24" t="s">
        <v>16</v>
      </c>
      <c r="B19" s="25">
        <f>39987154.86/1000</f>
        <v>39987.154860000002</v>
      </c>
      <c r="C19" s="26">
        <f>39392281.04/1000</f>
        <v>39392.281040000002</v>
      </c>
      <c r="D19" s="15">
        <f t="shared" si="0"/>
        <v>98.512337719243277</v>
      </c>
      <c r="E19" s="25">
        <f>61832280.02/1000</f>
        <v>61832.280020000006</v>
      </c>
      <c r="F19" s="25">
        <f>64202965.24/1000</f>
        <v>64202.965240000005</v>
      </c>
      <c r="G19" s="17"/>
      <c r="H19" s="18">
        <f t="shared" si="1"/>
        <v>103.83405758162756</v>
      </c>
      <c r="I19" s="19">
        <f t="shared" si="2"/>
        <v>24810.684200000003</v>
      </c>
      <c r="J19" s="20">
        <f t="shared" si="3"/>
        <v>162.98361898567529</v>
      </c>
    </row>
    <row r="20" spans="1:10" ht="37.5">
      <c r="A20" s="24" t="s">
        <v>17</v>
      </c>
      <c r="B20" s="25">
        <f>373722072.59/1000</f>
        <v>373722.07259</v>
      </c>
      <c r="C20" s="26">
        <f>381728704.13/1000</f>
        <v>381728.70412999997</v>
      </c>
      <c r="D20" s="15">
        <f t="shared" si="0"/>
        <v>102.14240263747649</v>
      </c>
      <c r="E20" s="25">
        <f>265687072.41/1000</f>
        <v>265687.07241000002</v>
      </c>
      <c r="F20" s="25">
        <f>302716405.55/1000</f>
        <v>302716.40555000002</v>
      </c>
      <c r="G20" s="17"/>
      <c r="H20" s="18">
        <f t="shared" si="1"/>
        <v>113.93719792390104</v>
      </c>
      <c r="I20" s="19">
        <f t="shared" si="2"/>
        <v>-79012.298579999944</v>
      </c>
      <c r="J20" s="20">
        <f t="shared" si="3"/>
        <v>79.301452124204985</v>
      </c>
    </row>
    <row r="21" spans="1:10">
      <c r="A21" s="24" t="s">
        <v>18</v>
      </c>
      <c r="B21" s="25">
        <f>39779650.91/1000</f>
        <v>39779.650909999997</v>
      </c>
      <c r="C21" s="26">
        <f>44514846.69/1000</f>
        <v>44514.846689999998</v>
      </c>
      <c r="D21" s="15">
        <f t="shared" si="0"/>
        <v>111.90356293149281</v>
      </c>
      <c r="E21" s="25">
        <f>38435267.76/1000</f>
        <v>38435.267759999995</v>
      </c>
      <c r="F21" s="25">
        <f>102607780.61/1000</f>
        <v>102607.78061</v>
      </c>
      <c r="G21" s="17"/>
      <c r="H21" s="18">
        <f t="shared" si="1"/>
        <v>266.96257523353341</v>
      </c>
      <c r="I21" s="19">
        <f t="shared" si="2"/>
        <v>58092.933920000003</v>
      </c>
      <c r="J21" s="20">
        <f t="shared" si="3"/>
        <v>230.50237895809769</v>
      </c>
    </row>
    <row r="22" spans="1:10">
      <c r="A22" s="24" t="s">
        <v>19</v>
      </c>
      <c r="B22" s="25">
        <f>139264610/1000</f>
        <v>139264.60999999999</v>
      </c>
      <c r="C22" s="26">
        <f>127629647.91/1000</f>
        <v>127629.64791</v>
      </c>
      <c r="D22" s="15">
        <f t="shared" si="0"/>
        <v>91.645428016493213</v>
      </c>
      <c r="E22" s="25">
        <f>92666218.67/1000</f>
        <v>92666.218670000002</v>
      </c>
      <c r="F22" s="25">
        <f>81186501.15/1000</f>
        <v>81186.501150000011</v>
      </c>
      <c r="G22" s="17"/>
      <c r="H22" s="18">
        <f t="shared" si="1"/>
        <v>87.611755734976953</v>
      </c>
      <c r="I22" s="19">
        <f t="shared" si="2"/>
        <v>-46443.146759999989</v>
      </c>
      <c r="J22" s="20">
        <f t="shared" si="3"/>
        <v>63.611004558478378</v>
      </c>
    </row>
    <row r="23" spans="1:10">
      <c r="A23" s="24" t="s">
        <v>20</v>
      </c>
      <c r="B23" s="25">
        <f>7002638215.56/1000</f>
        <v>7002638.2155600004</v>
      </c>
      <c r="C23" s="26">
        <f>6657190651.11/1000</f>
        <v>6657190.65111</v>
      </c>
      <c r="D23" s="15">
        <f t="shared" si="0"/>
        <v>95.066894021707299</v>
      </c>
      <c r="E23" s="25">
        <f>9291374829.15/1000</f>
        <v>9291374.8291499987</v>
      </c>
      <c r="F23" s="25">
        <f>9112931831.91/1000</f>
        <v>9112931.8319099993</v>
      </c>
      <c r="G23" s="17"/>
      <c r="H23" s="18">
        <f t="shared" si="1"/>
        <v>98.079476928643899</v>
      </c>
      <c r="I23" s="19">
        <f t="shared" si="2"/>
        <v>2455741.1807999993</v>
      </c>
      <c r="J23" s="20">
        <f t="shared" si="3"/>
        <v>136.88855118473339</v>
      </c>
    </row>
    <row r="24" spans="1:10" ht="56.25">
      <c r="A24" s="24" t="s">
        <v>21</v>
      </c>
      <c r="B24" s="25">
        <f>6991622257.16/1000</f>
        <v>6991622.2571599996</v>
      </c>
      <c r="C24" s="26">
        <f>6735366970.94/1000</f>
        <v>6735366.9709399994</v>
      </c>
      <c r="D24" s="15">
        <f t="shared" si="0"/>
        <v>96.334823638997747</v>
      </c>
      <c r="E24" s="25">
        <f>9288623168.26/1000</f>
        <v>9288623.1682600006</v>
      </c>
      <c r="F24" s="25">
        <f>9133606782.21/1000</f>
        <v>9133606.7822099999</v>
      </c>
      <c r="G24" s="17"/>
      <c r="H24" s="18">
        <f t="shared" si="1"/>
        <v>98.331115567485767</v>
      </c>
      <c r="I24" s="19">
        <f t="shared" si="2"/>
        <v>2398239.8112700004</v>
      </c>
      <c r="J24" s="20">
        <f t="shared" si="3"/>
        <v>135.60666882171824</v>
      </c>
    </row>
    <row r="25" spans="1:10">
      <c r="A25" s="24" t="s">
        <v>22</v>
      </c>
      <c r="B25" s="25">
        <f>11015958.4/1000</f>
        <v>11015.9584</v>
      </c>
      <c r="C25" s="26">
        <f>11603751.65/1000</f>
        <v>11603.75165</v>
      </c>
      <c r="D25" s="15">
        <f t="shared" si="0"/>
        <v>105.3358339661123</v>
      </c>
      <c r="E25" s="25">
        <f>2751660.89/1000</f>
        <v>2751.6608900000001</v>
      </c>
      <c r="F25" s="25">
        <f>4214557.72/1000</f>
        <v>4214.5577199999998</v>
      </c>
      <c r="G25" s="17"/>
      <c r="H25" s="18">
        <f t="shared" si="1"/>
        <v>153.1641393500345</v>
      </c>
      <c r="I25" s="19">
        <f t="shared" si="2"/>
        <v>-7389.1939300000004</v>
      </c>
      <c r="J25" s="20">
        <f t="shared" si="3"/>
        <v>36.320647383038398</v>
      </c>
    </row>
    <row r="26" spans="1:10" ht="131.25">
      <c r="A26" s="24" t="s">
        <v>23</v>
      </c>
      <c r="B26" s="25">
        <v>0</v>
      </c>
      <c r="C26" s="26">
        <v>26.73</v>
      </c>
      <c r="D26" s="15">
        <v>0</v>
      </c>
      <c r="E26" s="25">
        <v>0</v>
      </c>
      <c r="F26" s="25">
        <v>5571572</v>
      </c>
      <c r="G26" s="17"/>
      <c r="H26" s="18">
        <v>0</v>
      </c>
      <c r="I26" s="19">
        <f t="shared" si="2"/>
        <v>5571545.2699999996</v>
      </c>
      <c r="J26" s="20">
        <f t="shared" si="3"/>
        <v>20843890.759446315</v>
      </c>
    </row>
    <row r="27" spans="1:10" ht="56.25">
      <c r="A27" s="24" t="s">
        <v>24</v>
      </c>
      <c r="B27" s="26">
        <v>0</v>
      </c>
      <c r="C27" s="26">
        <f>-89780098.21/1000</f>
        <v>-89780.098209999996</v>
      </c>
      <c r="D27" s="15">
        <v>0</v>
      </c>
      <c r="E27" s="25">
        <v>0</v>
      </c>
      <c r="F27" s="25">
        <f>-30461080.02/1000</f>
        <v>-30461.080020000001</v>
      </c>
      <c r="G27" s="17"/>
      <c r="H27" s="18">
        <v>0</v>
      </c>
      <c r="I27" s="19">
        <f t="shared" si="2"/>
        <v>59319.018189999995</v>
      </c>
      <c r="J27" s="20">
        <f t="shared" si="3"/>
        <v>33.928543883690196</v>
      </c>
    </row>
    <row r="28" spans="1:10" s="30" customFormat="1">
      <c r="A28" s="27" t="s">
        <v>25</v>
      </c>
      <c r="B28" s="26">
        <f>14101443578.05/1000</f>
        <v>14101443.578049999</v>
      </c>
      <c r="C28" s="26">
        <f>12696616037.75/1000</f>
        <v>12696616.03775</v>
      </c>
      <c r="D28" s="15">
        <f t="shared" si="0"/>
        <v>90.037704065371557</v>
      </c>
      <c r="E28" s="28">
        <f>16773868273.52/1000</f>
        <v>16773868.27352</v>
      </c>
      <c r="F28" s="28">
        <f>15896246109.44/1000</f>
        <v>15896246.109440001</v>
      </c>
      <c r="G28" s="29"/>
      <c r="H28" s="18">
        <f t="shared" si="1"/>
        <v>94.767920256858972</v>
      </c>
      <c r="I28" s="19">
        <f t="shared" si="2"/>
        <v>3199630.0716900006</v>
      </c>
      <c r="J28" s="20">
        <f t="shared" si="3"/>
        <v>125.20065237994717</v>
      </c>
    </row>
    <row r="29" spans="1:10" s="30" customFormat="1">
      <c r="A29" s="31" t="s">
        <v>8</v>
      </c>
      <c r="B29" s="32"/>
      <c r="C29" s="32"/>
      <c r="D29" s="15"/>
      <c r="E29" s="33"/>
      <c r="F29" s="33"/>
      <c r="G29" s="29"/>
      <c r="H29" s="18"/>
      <c r="I29" s="19"/>
      <c r="J29" s="20"/>
    </row>
    <row r="30" spans="1:10" s="30" customFormat="1">
      <c r="A30" s="34" t="s">
        <v>26</v>
      </c>
      <c r="B30" s="26">
        <f>1600042882.07/1000</f>
        <v>1600042.8820699998</v>
      </c>
      <c r="C30" s="26">
        <f>1390351344.98/1000</f>
        <v>1390351.3449800001</v>
      </c>
      <c r="D30" s="15">
        <f t="shared" si="0"/>
        <v>86.894630172741458</v>
      </c>
      <c r="E30" s="28">
        <f>1540003113.81/1000</f>
        <v>1540003.11381</v>
      </c>
      <c r="F30" s="28">
        <f>1437223427.03/1000</f>
        <v>1437223.4270299999</v>
      </c>
      <c r="G30" s="29"/>
      <c r="H30" s="18">
        <f t="shared" si="1"/>
        <v>93.326007859443806</v>
      </c>
      <c r="I30" s="19">
        <f t="shared" si="2"/>
        <v>46872.082049999852</v>
      </c>
      <c r="J30" s="20">
        <f t="shared" si="3"/>
        <v>103.37124009835614</v>
      </c>
    </row>
    <row r="31" spans="1:10" s="30" customFormat="1" ht="54.75">
      <c r="A31" s="34" t="s">
        <v>27</v>
      </c>
      <c r="B31" s="26">
        <f>13469129.1/1000</f>
        <v>13469.1291</v>
      </c>
      <c r="C31" s="26">
        <f>13064427.68/1000</f>
        <v>13064.427679999999</v>
      </c>
      <c r="D31" s="15">
        <f t="shared" si="0"/>
        <v>96.995340849468874</v>
      </c>
      <c r="E31" s="28">
        <f>19184147.15/1000</f>
        <v>19184.147149999997</v>
      </c>
      <c r="F31" s="28">
        <f>18349328.35/1000</f>
        <v>18349.32835</v>
      </c>
      <c r="G31" s="29"/>
      <c r="H31" s="18">
        <f t="shared" si="1"/>
        <v>95.648392428015768</v>
      </c>
      <c r="I31" s="19">
        <f t="shared" si="2"/>
        <v>5284.9006700000009</v>
      </c>
      <c r="J31" s="20">
        <f t="shared" si="3"/>
        <v>140.45259998714312</v>
      </c>
    </row>
    <row r="32" spans="1:10" s="30" customFormat="1" ht="72.75">
      <c r="A32" s="34" t="s">
        <v>28</v>
      </c>
      <c r="B32" s="26">
        <f>87054852.07/1000</f>
        <v>87054.852069999994</v>
      </c>
      <c r="C32" s="26">
        <f>82129247.6/1000</f>
        <v>82129.247599999988</v>
      </c>
      <c r="D32" s="15">
        <f t="shared" si="0"/>
        <v>94.341952972317529</v>
      </c>
      <c r="E32" s="28">
        <f>94873893.89/1000</f>
        <v>94873.893890000007</v>
      </c>
      <c r="F32" s="28">
        <f>91916495.11/1000</f>
        <v>91916.495110000003</v>
      </c>
      <c r="G32" s="29"/>
      <c r="H32" s="18">
        <f t="shared" si="1"/>
        <v>96.882810793632117</v>
      </c>
      <c r="I32" s="19">
        <f t="shared" si="2"/>
        <v>9787.2475100000156</v>
      </c>
      <c r="J32" s="20">
        <f t="shared" si="3"/>
        <v>111.91688441816434</v>
      </c>
    </row>
    <row r="33" spans="1:10" s="30" customFormat="1" ht="72.75">
      <c r="A33" s="34" t="s">
        <v>29</v>
      </c>
      <c r="B33" s="26">
        <f>598574554.64/1000</f>
        <v>598574.55463999999</v>
      </c>
      <c r="C33" s="26">
        <f>570905659.12/1000</f>
        <v>570905.65911999997</v>
      </c>
      <c r="D33" s="15">
        <f t="shared" si="0"/>
        <v>95.377535629351812</v>
      </c>
      <c r="E33" s="28">
        <f>596766757.35/1000</f>
        <v>596766.75734999997</v>
      </c>
      <c r="F33" s="28">
        <f>580263991.16/1000</f>
        <v>580263.99115999998</v>
      </c>
      <c r="G33" s="29"/>
      <c r="H33" s="18">
        <f t="shared" si="1"/>
        <v>97.234637153168165</v>
      </c>
      <c r="I33" s="19">
        <f t="shared" si="2"/>
        <v>9358.3320400000084</v>
      </c>
      <c r="J33" s="20">
        <f t="shared" si="3"/>
        <v>101.63920814069789</v>
      </c>
    </row>
    <row r="34" spans="1:10" s="30" customFormat="1">
      <c r="A34" s="34" t="s">
        <v>30</v>
      </c>
      <c r="B34" s="26">
        <f>89625/1000</f>
        <v>89.625</v>
      </c>
      <c r="C34" s="26">
        <f>35190/1000</f>
        <v>35.19</v>
      </c>
      <c r="D34" s="15">
        <f t="shared" si="0"/>
        <v>39.263598326359826</v>
      </c>
      <c r="E34" s="28">
        <f>411712/1000</f>
        <v>411.71199999999999</v>
      </c>
      <c r="F34" s="28">
        <f>158880/1000</f>
        <v>158.88</v>
      </c>
      <c r="G34" s="29"/>
      <c r="H34" s="18">
        <f t="shared" si="1"/>
        <v>38.590082387688476</v>
      </c>
      <c r="I34" s="19">
        <f t="shared" si="2"/>
        <v>123.69</v>
      </c>
      <c r="J34" s="20">
        <f t="shared" si="3"/>
        <v>451.49190110826936</v>
      </c>
    </row>
    <row r="35" spans="1:10" s="30" customFormat="1" ht="54.75">
      <c r="A35" s="34" t="s">
        <v>31</v>
      </c>
      <c r="B35" s="26">
        <f>61951988.35/1000</f>
        <v>61951.98835</v>
      </c>
      <c r="C35" s="26">
        <f>57384098.21/1000</f>
        <v>57384.098210000004</v>
      </c>
      <c r="D35" s="15">
        <f t="shared" si="0"/>
        <v>92.626725531078137</v>
      </c>
      <c r="E35" s="28">
        <f>60666979.51/1000</f>
        <v>60666.979509999997</v>
      </c>
      <c r="F35" s="28">
        <f>59949379.16/1000</f>
        <v>59949.379159999997</v>
      </c>
      <c r="G35" s="29"/>
      <c r="H35" s="18">
        <f t="shared" si="1"/>
        <v>98.817148379899621</v>
      </c>
      <c r="I35" s="19">
        <f t="shared" si="2"/>
        <v>2565.280949999993</v>
      </c>
      <c r="J35" s="20">
        <f t="shared" si="3"/>
        <v>104.47036902211518</v>
      </c>
    </row>
    <row r="36" spans="1:10" s="30" customFormat="1">
      <c r="A36" s="34" t="s">
        <v>32</v>
      </c>
      <c r="B36" s="26">
        <f>2580000/1000</f>
        <v>2580</v>
      </c>
      <c r="C36" s="26">
        <f>2572872/1000</f>
        <v>2572.8719999999998</v>
      </c>
      <c r="D36" s="15">
        <f t="shared" si="0"/>
        <v>99.723720930232545</v>
      </c>
      <c r="E36" s="28">
        <f>1720960/1000</f>
        <v>1720.96</v>
      </c>
      <c r="F36" s="28">
        <f>1621000/1000</f>
        <v>1621</v>
      </c>
      <c r="G36" s="29"/>
      <c r="H36" s="18">
        <f t="shared" si="1"/>
        <v>94.191613982893259</v>
      </c>
      <c r="I36" s="19">
        <f t="shared" si="2"/>
        <v>-951.87199999999984</v>
      </c>
      <c r="J36" s="20">
        <f t="shared" si="3"/>
        <v>63.003522911361323</v>
      </c>
    </row>
    <row r="37" spans="1:10" s="30" customFormat="1">
      <c r="A37" s="34" t="s">
        <v>33</v>
      </c>
      <c r="B37" s="26">
        <f>17968095.87/1000</f>
        <v>17968.095870000001</v>
      </c>
      <c r="C37" s="26">
        <v>0</v>
      </c>
      <c r="D37" s="15">
        <f t="shared" si="0"/>
        <v>0</v>
      </c>
      <c r="E37" s="28">
        <f>16707515.22/1000</f>
        <v>16707.515220000001</v>
      </c>
      <c r="F37" s="28">
        <v>0</v>
      </c>
      <c r="G37" s="29"/>
      <c r="H37" s="18">
        <f t="shared" si="1"/>
        <v>0</v>
      </c>
      <c r="I37" s="19">
        <f t="shared" si="2"/>
        <v>0</v>
      </c>
      <c r="J37" s="20">
        <v>0</v>
      </c>
    </row>
    <row r="38" spans="1:10" s="30" customFormat="1">
      <c r="A38" s="34" t="s">
        <v>34</v>
      </c>
      <c r="B38" s="26">
        <f>818354637.04/1000</f>
        <v>818354.63703999994</v>
      </c>
      <c r="C38" s="26">
        <f>664259850.37/1000</f>
        <v>664259.85037</v>
      </c>
      <c r="D38" s="15">
        <f t="shared" si="0"/>
        <v>81.170170034428722</v>
      </c>
      <c r="E38" s="28">
        <f>749671148.69/1000</f>
        <v>749671.14869000006</v>
      </c>
      <c r="F38" s="28">
        <f>684964353.25/1000</f>
        <v>684964.35325000004</v>
      </c>
      <c r="G38" s="29"/>
      <c r="H38" s="18">
        <f t="shared" si="1"/>
        <v>91.368642697125154</v>
      </c>
      <c r="I38" s="19">
        <f t="shared" si="2"/>
        <v>20704.502880000044</v>
      </c>
      <c r="J38" s="20">
        <f t="shared" si="3"/>
        <v>103.11692824253451</v>
      </c>
    </row>
    <row r="39" spans="1:10" s="30" customFormat="1">
      <c r="A39" s="24" t="s">
        <v>35</v>
      </c>
      <c r="B39" s="26">
        <f>9357500/1000</f>
        <v>9357.5</v>
      </c>
      <c r="C39" s="26">
        <f>9357500/1000</f>
        <v>9357.5</v>
      </c>
      <c r="D39" s="15">
        <f t="shared" si="0"/>
        <v>100</v>
      </c>
      <c r="E39" s="25">
        <f>10627600/1000</f>
        <v>10627.6</v>
      </c>
      <c r="F39" s="25">
        <f>10430718.31/1000</f>
        <v>10430.71831</v>
      </c>
      <c r="G39" s="29"/>
      <c r="H39" s="18">
        <f t="shared" si="1"/>
        <v>98.147449188904361</v>
      </c>
      <c r="I39" s="19">
        <f t="shared" si="2"/>
        <v>1073.2183100000002</v>
      </c>
      <c r="J39" s="20">
        <f t="shared" si="3"/>
        <v>111.46907090569063</v>
      </c>
    </row>
    <row r="40" spans="1:10" s="30" customFormat="1">
      <c r="A40" s="24" t="s">
        <v>36</v>
      </c>
      <c r="B40" s="26">
        <f>9357500/1000</f>
        <v>9357.5</v>
      </c>
      <c r="C40" s="26">
        <f>9357500/1000</f>
        <v>9357.5</v>
      </c>
      <c r="D40" s="15">
        <f t="shared" si="0"/>
        <v>100</v>
      </c>
      <c r="E40" s="25">
        <f>10627600/1000</f>
        <v>10627.6</v>
      </c>
      <c r="F40" s="25">
        <f>10430718.31/1000</f>
        <v>10430.71831</v>
      </c>
      <c r="G40" s="29"/>
      <c r="H40" s="18">
        <f t="shared" si="1"/>
        <v>98.147449188904361</v>
      </c>
      <c r="I40" s="19">
        <f t="shared" si="2"/>
        <v>1073.2183100000002</v>
      </c>
      <c r="J40" s="20">
        <f t="shared" si="3"/>
        <v>111.46907090569063</v>
      </c>
    </row>
    <row r="41" spans="1:10" s="30" customFormat="1" ht="37.5">
      <c r="A41" s="24" t="s">
        <v>37</v>
      </c>
      <c r="B41" s="26">
        <f>71001752.9/1000</f>
        <v>71001.752900000007</v>
      </c>
      <c r="C41" s="26">
        <f>56644293.82/1000</f>
        <v>56644.293819999999</v>
      </c>
      <c r="D41" s="15">
        <f t="shared" si="0"/>
        <v>79.7787258855126</v>
      </c>
      <c r="E41" s="25">
        <f>109195676.98/1000</f>
        <v>109195.67698</v>
      </c>
      <c r="F41" s="25">
        <f>96639697.34/1000</f>
        <v>96639.697339999999</v>
      </c>
      <c r="G41" s="29"/>
      <c r="H41" s="18">
        <f t="shared" si="1"/>
        <v>88.501394938647877</v>
      </c>
      <c r="I41" s="19">
        <f t="shared" si="2"/>
        <v>39995.40352</v>
      </c>
      <c r="J41" s="20">
        <f t="shared" si="3"/>
        <v>170.60800095256621</v>
      </c>
    </row>
    <row r="42" spans="1:10" s="30" customFormat="1" ht="56.25">
      <c r="A42" s="24" t="s">
        <v>38</v>
      </c>
      <c r="B42" s="26">
        <f>44742623.22/1000</f>
        <v>44742.623220000001</v>
      </c>
      <c r="C42" s="26">
        <f>33398842.46/1000</f>
        <v>33398.84246</v>
      </c>
      <c r="D42" s="15">
        <f t="shared" si="0"/>
        <v>74.646589887627954</v>
      </c>
      <c r="E42" s="25">
        <f>59294010.45/1000</f>
        <v>59294.010450000002</v>
      </c>
      <c r="F42" s="25">
        <f>48269617.61/1000</f>
        <v>48269.617610000001</v>
      </c>
      <c r="G42" s="29"/>
      <c r="H42" s="18">
        <f t="shared" si="1"/>
        <v>81.407240366552074</v>
      </c>
      <c r="I42" s="19">
        <f t="shared" si="2"/>
        <v>14870.775150000001</v>
      </c>
      <c r="J42" s="20">
        <f t="shared" si="3"/>
        <v>144.52482198390538</v>
      </c>
    </row>
    <row r="43" spans="1:10" s="30" customFormat="1">
      <c r="A43" s="24" t="s">
        <v>39</v>
      </c>
      <c r="B43" s="26">
        <f>8206181.79/1000</f>
        <v>8206.1817900000005</v>
      </c>
      <c r="C43" s="26">
        <f>5586083.35/1000</f>
        <v>5586.0833499999999</v>
      </c>
      <c r="D43" s="15">
        <f t="shared" si="0"/>
        <v>68.07165004322917</v>
      </c>
      <c r="E43" s="25">
        <f>19254646.7/1000</f>
        <v>19254.646699999998</v>
      </c>
      <c r="F43" s="25">
        <f>18168807.37/1000</f>
        <v>18168.807370000002</v>
      </c>
      <c r="G43" s="29"/>
      <c r="H43" s="18">
        <f t="shared" si="1"/>
        <v>94.360637476666881</v>
      </c>
      <c r="I43" s="19">
        <f t="shared" si="2"/>
        <v>12582.724020000001</v>
      </c>
      <c r="J43" s="20">
        <f t="shared" si="3"/>
        <v>325.25127592304909</v>
      </c>
    </row>
    <row r="44" spans="1:10" s="30" customFormat="1" ht="37.5">
      <c r="A44" s="24" t="s">
        <v>40</v>
      </c>
      <c r="B44" s="26">
        <f>18052947.89/1000</f>
        <v>18052.947889999999</v>
      </c>
      <c r="C44" s="26">
        <f>17659368.01/1000</f>
        <v>17659.368010000002</v>
      </c>
      <c r="D44" s="15">
        <f t="shared" si="0"/>
        <v>97.819858106287384</v>
      </c>
      <c r="E44" s="25">
        <f>30647019.83/1000</f>
        <v>30647.019829999997</v>
      </c>
      <c r="F44" s="25">
        <f>30201272.36/1000</f>
        <v>30201.272359999999</v>
      </c>
      <c r="G44" s="29"/>
      <c r="H44" s="18">
        <f t="shared" si="1"/>
        <v>98.5455438327362</v>
      </c>
      <c r="I44" s="19">
        <f t="shared" si="2"/>
        <v>12541.904349999997</v>
      </c>
      <c r="J44" s="20">
        <f t="shared" si="3"/>
        <v>171.02125253235491</v>
      </c>
    </row>
    <row r="45" spans="1:10" s="30" customFormat="1">
      <c r="A45" s="34" t="s">
        <v>41</v>
      </c>
      <c r="B45" s="26">
        <f>574054471.8/1000</f>
        <v>574054.47179999994</v>
      </c>
      <c r="C45" s="26">
        <f>480053884.95/1000</f>
        <v>480053.88494999998</v>
      </c>
      <c r="D45" s="15">
        <f t="shared" si="0"/>
        <v>83.625145092023658</v>
      </c>
      <c r="E45" s="28">
        <f>731351590.42/1000</f>
        <v>731351.59041999991</v>
      </c>
      <c r="F45" s="28">
        <f>631784192.16/1000</f>
        <v>631784.19215999998</v>
      </c>
      <c r="G45" s="29"/>
      <c r="H45" s="18">
        <f t="shared" si="1"/>
        <v>86.385836912883391</v>
      </c>
      <c r="I45" s="19">
        <f t="shared" si="2"/>
        <v>151730.30721</v>
      </c>
      <c r="J45" s="20">
        <f t="shared" si="3"/>
        <v>131.60693246463435</v>
      </c>
    </row>
    <row r="46" spans="1:10" s="30" customFormat="1">
      <c r="A46" s="34" t="s">
        <v>42</v>
      </c>
      <c r="B46" s="26">
        <f>409400/1000</f>
        <v>409.4</v>
      </c>
      <c r="C46" s="26">
        <f>251900/1000</f>
        <v>251.9</v>
      </c>
      <c r="D46" s="15">
        <f t="shared" si="0"/>
        <v>61.52906692721055</v>
      </c>
      <c r="E46" s="28">
        <f>314214.75/1000</f>
        <v>314.21474999999998</v>
      </c>
      <c r="F46" s="28">
        <f>241299.75/1000</f>
        <v>241.29974999999999</v>
      </c>
      <c r="G46" s="29"/>
      <c r="H46" s="18">
        <f t="shared" si="1"/>
        <v>76.794533038312167</v>
      </c>
      <c r="I46" s="19">
        <f t="shared" si="2"/>
        <v>-10.600250000000017</v>
      </c>
      <c r="J46" s="20">
        <f t="shared" si="3"/>
        <v>95.791881699086929</v>
      </c>
    </row>
    <row r="47" spans="1:10" s="30" customFormat="1">
      <c r="A47" s="34" t="s">
        <v>43</v>
      </c>
      <c r="B47" s="26">
        <f>32369200/1000</f>
        <v>32369.200000000001</v>
      </c>
      <c r="C47" s="26">
        <f>32211725/1000</f>
        <v>32211.724999999999</v>
      </c>
      <c r="D47" s="15">
        <f t="shared" si="0"/>
        <v>99.513503577474879</v>
      </c>
      <c r="E47" s="28">
        <f>32660000/1000</f>
        <v>32660</v>
      </c>
      <c r="F47" s="28">
        <f>32660000/1000</f>
        <v>32660</v>
      </c>
      <c r="G47" s="29"/>
      <c r="H47" s="18">
        <f t="shared" si="1"/>
        <v>100</v>
      </c>
      <c r="I47" s="19">
        <f t="shared" si="2"/>
        <v>448.27500000000146</v>
      </c>
      <c r="J47" s="20">
        <f t="shared" si="3"/>
        <v>101.39165164237556</v>
      </c>
    </row>
    <row r="48" spans="1:10" s="30" customFormat="1">
      <c r="A48" s="34" t="s">
        <v>44</v>
      </c>
      <c r="B48" s="26">
        <v>0</v>
      </c>
      <c r="C48" s="30">
        <v>0</v>
      </c>
      <c r="D48" s="15">
        <v>0</v>
      </c>
      <c r="E48" s="28">
        <f>250000/1000</f>
        <v>250</v>
      </c>
      <c r="F48" s="28">
        <f>250000/1000</f>
        <v>250</v>
      </c>
      <c r="G48" s="29"/>
      <c r="H48" s="18">
        <f t="shared" si="1"/>
        <v>100</v>
      </c>
      <c r="I48" s="19">
        <f t="shared" si="2"/>
        <v>250</v>
      </c>
      <c r="J48" s="20">
        <v>0</v>
      </c>
    </row>
    <row r="49" spans="1:10" s="30" customFormat="1">
      <c r="A49" s="34" t="s">
        <v>45</v>
      </c>
      <c r="B49" s="26">
        <f>365962510.34/1000</f>
        <v>365962.51033999998</v>
      </c>
      <c r="C49" s="26">
        <f>316525311.68/1000</f>
        <v>316525.31167999998</v>
      </c>
      <c r="D49" s="15">
        <f t="shared" si="0"/>
        <v>86.491184953871354</v>
      </c>
      <c r="E49" s="28">
        <f>544142767.26/1000</f>
        <v>544142.76725999999</v>
      </c>
      <c r="F49" s="28">
        <f>479392961.54/1000</f>
        <v>479392.96154000005</v>
      </c>
      <c r="G49" s="29"/>
      <c r="H49" s="18">
        <f t="shared" si="1"/>
        <v>88.100585064091931</v>
      </c>
      <c r="I49" s="19">
        <f t="shared" si="2"/>
        <v>162867.64986000006</v>
      </c>
      <c r="J49" s="20">
        <f t="shared" si="3"/>
        <v>151.4548580635016</v>
      </c>
    </row>
    <row r="50" spans="1:10" s="30" customFormat="1">
      <c r="A50" s="34" t="s">
        <v>46</v>
      </c>
      <c r="B50" s="26">
        <f>5634308/1000</f>
        <v>5634.308</v>
      </c>
      <c r="C50" s="26">
        <f>5634308/1000</f>
        <v>5634.308</v>
      </c>
      <c r="D50" s="15">
        <f t="shared" si="0"/>
        <v>100</v>
      </c>
      <c r="E50" s="28">
        <f>4500000/1000</f>
        <v>4500</v>
      </c>
      <c r="F50" s="28">
        <f>4500000/1000</f>
        <v>4500</v>
      </c>
      <c r="G50" s="29"/>
      <c r="H50" s="18">
        <f t="shared" si="1"/>
        <v>100</v>
      </c>
      <c r="I50" s="19">
        <f t="shared" si="2"/>
        <v>-1134.308</v>
      </c>
      <c r="J50" s="20">
        <f t="shared" si="3"/>
        <v>79.867838250944033</v>
      </c>
    </row>
    <row r="51" spans="1:10" s="30" customFormat="1">
      <c r="A51" s="34" t="s">
        <v>47</v>
      </c>
      <c r="B51" s="26">
        <f>169679053.46/1000</f>
        <v>169679.05346</v>
      </c>
      <c r="C51" s="26">
        <f>125430640.27/1000</f>
        <v>125430.64026999999</v>
      </c>
      <c r="D51" s="15">
        <f t="shared" si="0"/>
        <v>73.922288999312997</v>
      </c>
      <c r="E51" s="28">
        <f>149484608.41/1000</f>
        <v>149484.60840999999</v>
      </c>
      <c r="F51" s="28">
        <f>114739930.87/1000</f>
        <v>114739.93087000001</v>
      </c>
      <c r="G51" s="29"/>
      <c r="H51" s="18">
        <f t="shared" si="1"/>
        <v>76.757020064096665</v>
      </c>
      <c r="I51" s="19">
        <f t="shared" si="2"/>
        <v>-10690.709399999978</v>
      </c>
      <c r="J51" s="20">
        <f t="shared" si="3"/>
        <v>91.476795959115464</v>
      </c>
    </row>
    <row r="52" spans="1:10" s="30" customFormat="1">
      <c r="A52" s="34" t="s">
        <v>48</v>
      </c>
      <c r="B52" s="26">
        <f>2507413615.69/1000</f>
        <v>2507413.6156899999</v>
      </c>
      <c r="C52" s="26">
        <f>1930792375.92/1000</f>
        <v>1930792.37592</v>
      </c>
      <c r="D52" s="15">
        <f t="shared" si="0"/>
        <v>77.003345751900483</v>
      </c>
      <c r="E52" s="28">
        <f>2286967307.29/1000</f>
        <v>2286967.3072899999</v>
      </c>
      <c r="F52" s="28">
        <f>1989925325.91/1000</f>
        <v>1989925.3259100001</v>
      </c>
      <c r="G52" s="29"/>
      <c r="H52" s="18">
        <f t="shared" si="1"/>
        <v>87.011533552178875</v>
      </c>
      <c r="I52" s="19">
        <f t="shared" si="2"/>
        <v>59132.94999000011</v>
      </c>
      <c r="J52" s="20">
        <f t="shared" si="3"/>
        <v>103.06262603516983</v>
      </c>
    </row>
    <row r="53" spans="1:10" s="30" customFormat="1">
      <c r="A53" s="34" t="s">
        <v>49</v>
      </c>
      <c r="B53" s="26">
        <f>602534422/1000</f>
        <v>602534.42200000002</v>
      </c>
      <c r="C53" s="26">
        <f>496033904.75/1000</f>
        <v>496033.90474999999</v>
      </c>
      <c r="D53" s="15">
        <f t="shared" si="0"/>
        <v>82.32457543313599</v>
      </c>
      <c r="E53" s="28">
        <f>172990670.25/1000</f>
        <v>172990.67025</v>
      </c>
      <c r="F53" s="28">
        <f>156765892.22/1000</f>
        <v>156765.89222000001</v>
      </c>
      <c r="G53" s="29"/>
      <c r="H53" s="18">
        <f t="shared" si="1"/>
        <v>90.6210097882432</v>
      </c>
      <c r="I53" s="19">
        <f t="shared" si="2"/>
        <v>-339268.01252999995</v>
      </c>
      <c r="J53" s="20">
        <f t="shared" si="3"/>
        <v>31.60386633228422</v>
      </c>
    </row>
    <row r="54" spans="1:10" s="30" customFormat="1">
      <c r="A54" s="34" t="s">
        <v>50</v>
      </c>
      <c r="B54" s="26">
        <f>845739547.03/1000</f>
        <v>845739.54703000002</v>
      </c>
      <c r="C54" s="26">
        <f>490919947.71/1000</f>
        <v>490919.94770999998</v>
      </c>
      <c r="D54" s="15">
        <f t="shared" si="0"/>
        <v>58.046232960723323</v>
      </c>
      <c r="E54" s="28">
        <f>899287552.76/1000</f>
        <v>899287.55275999999</v>
      </c>
      <c r="F54" s="28">
        <f>739344531.48/1000</f>
        <v>739344.53148000001</v>
      </c>
      <c r="G54" s="29"/>
      <c r="H54" s="18">
        <f t="shared" si="1"/>
        <v>82.214474025675173</v>
      </c>
      <c r="I54" s="19">
        <f t="shared" si="2"/>
        <v>248424.58377000003</v>
      </c>
      <c r="J54" s="20">
        <f t="shared" si="3"/>
        <v>150.60388866429835</v>
      </c>
    </row>
    <row r="55" spans="1:10" s="30" customFormat="1">
      <c r="A55" s="34" t="s">
        <v>51</v>
      </c>
      <c r="B55" s="26">
        <f>906059834.05/1000</f>
        <v>906059.83404999995</v>
      </c>
      <c r="C55" s="26">
        <f>795138909.43/1000</f>
        <v>795138.90943</v>
      </c>
      <c r="D55" s="15">
        <f t="shared" si="0"/>
        <v>87.757880831755429</v>
      </c>
      <c r="E55" s="28">
        <f>1066017798.71/1000</f>
        <v>1066017.79871</v>
      </c>
      <c r="F55" s="28">
        <f>945520774.78/1000</f>
        <v>945520.77477999998</v>
      </c>
      <c r="G55" s="29"/>
      <c r="H55" s="18">
        <f t="shared" si="1"/>
        <v>88.696527949550671</v>
      </c>
      <c r="I55" s="19">
        <f t="shared" si="2"/>
        <v>150381.86534999998</v>
      </c>
      <c r="J55" s="20">
        <f t="shared" si="3"/>
        <v>118.91265331963217</v>
      </c>
    </row>
    <row r="56" spans="1:10" s="30" customFormat="1" ht="36.75">
      <c r="A56" s="34" t="s">
        <v>52</v>
      </c>
      <c r="B56" s="26">
        <f>153079812.61/1000</f>
        <v>153079.81261000002</v>
      </c>
      <c r="C56" s="26">
        <f>148699614.03/1000</f>
        <v>148699.61403</v>
      </c>
      <c r="D56" s="15">
        <f t="shared" si="0"/>
        <v>97.138617754151937</v>
      </c>
      <c r="E56" s="28">
        <f>148671285.57/1000</f>
        <v>148671.28557000001</v>
      </c>
      <c r="F56" s="28">
        <f>148294127.43/1000</f>
        <v>148294.12742999999</v>
      </c>
      <c r="G56" s="29"/>
      <c r="H56" s="18">
        <f t="shared" si="1"/>
        <v>99.746314065588379</v>
      </c>
      <c r="I56" s="19">
        <f t="shared" si="2"/>
        <v>-405.48660000000382</v>
      </c>
      <c r="J56" s="20">
        <f t="shared" si="3"/>
        <v>99.727311598859842</v>
      </c>
    </row>
    <row r="57" spans="1:10" s="30" customFormat="1">
      <c r="A57" s="34" t="s">
        <v>53</v>
      </c>
      <c r="B57" s="26">
        <f>24376468/1000</f>
        <v>24376.468000000001</v>
      </c>
      <c r="C57" s="26">
        <f>22880876.88/1000</f>
        <v>22880.87688</v>
      </c>
      <c r="D57" s="15">
        <f t="shared" si="0"/>
        <v>93.864611066705805</v>
      </c>
      <c r="E57" s="28">
        <f>22667.8/1000</f>
        <v>22.6678</v>
      </c>
      <c r="F57" s="28">
        <f>22667.8/1000</f>
        <v>22.6678</v>
      </c>
      <c r="G57" s="29"/>
      <c r="H57" s="18">
        <f t="shared" si="1"/>
        <v>100</v>
      </c>
      <c r="I57" s="19">
        <f t="shared" si="2"/>
        <v>-22858.209080000001</v>
      </c>
      <c r="J57" s="20">
        <f t="shared" si="3"/>
        <v>9.9068755620173601E-2</v>
      </c>
    </row>
    <row r="58" spans="1:10" s="30" customFormat="1" ht="36.75">
      <c r="A58" s="34" t="s">
        <v>54</v>
      </c>
      <c r="B58" s="26">
        <f>24376468/1000</f>
        <v>24376.468000000001</v>
      </c>
      <c r="C58" s="26">
        <f>22880876.88/1000</f>
        <v>22880.87688</v>
      </c>
      <c r="D58" s="15">
        <f t="shared" si="0"/>
        <v>93.864611066705805</v>
      </c>
      <c r="E58" s="28">
        <f>22667.8/1000</f>
        <v>22.6678</v>
      </c>
      <c r="F58" s="28">
        <f>22667.8/1000</f>
        <v>22.6678</v>
      </c>
      <c r="G58" s="29"/>
      <c r="H58" s="18">
        <f t="shared" si="1"/>
        <v>100</v>
      </c>
      <c r="I58" s="19">
        <f t="shared" si="2"/>
        <v>-22858.209080000001</v>
      </c>
      <c r="J58" s="20">
        <f t="shared" si="3"/>
        <v>9.9068755620173601E-2</v>
      </c>
    </row>
    <row r="59" spans="1:10" s="30" customFormat="1">
      <c r="A59" s="34" t="s">
        <v>55</v>
      </c>
      <c r="B59" s="26">
        <f>7232101630.58/1000</f>
        <v>7232101.6305799996</v>
      </c>
      <c r="C59" s="26">
        <f>6891792254.23/1000</f>
        <v>6891792.2542299991</v>
      </c>
      <c r="D59" s="15">
        <f t="shared" si="0"/>
        <v>95.294460811902212</v>
      </c>
      <c r="E59" s="28">
        <f>10213386618.79/1000</f>
        <v>10213386.618790001</v>
      </c>
      <c r="F59" s="28">
        <f>9995831005.97/1000</f>
        <v>9995831.0059699994</v>
      </c>
      <c r="G59" s="29"/>
      <c r="H59" s="18">
        <f t="shared" si="1"/>
        <v>97.869897410720213</v>
      </c>
      <c r="I59" s="19">
        <f t="shared" si="2"/>
        <v>3104038.7517400002</v>
      </c>
      <c r="J59" s="20">
        <f t="shared" si="3"/>
        <v>145.03964480117381</v>
      </c>
    </row>
    <row r="60" spans="1:10" s="30" customFormat="1">
      <c r="A60" s="34" t="s">
        <v>56</v>
      </c>
      <c r="B60" s="26">
        <f>3401299674.32/1000</f>
        <v>3401299.6743200002</v>
      </c>
      <c r="C60" s="26">
        <f>3162249045.42/1000</f>
        <v>3162249.0454199999</v>
      </c>
      <c r="D60" s="15">
        <f t="shared" si="0"/>
        <v>92.971785735175132</v>
      </c>
      <c r="E60" s="28">
        <f>4817541496.46/1000</f>
        <v>4817541.4964600001</v>
      </c>
      <c r="F60" s="28">
        <f>4623554985.96/1000</f>
        <v>4623554.9859600002</v>
      </c>
      <c r="G60" s="29"/>
      <c r="H60" s="18">
        <f t="shared" si="1"/>
        <v>95.97332974417462</v>
      </c>
      <c r="I60" s="19">
        <f t="shared" si="2"/>
        <v>1461305.9405400003</v>
      </c>
      <c r="J60" s="20">
        <f t="shared" si="3"/>
        <v>146.21096945721158</v>
      </c>
    </row>
    <row r="61" spans="1:10" s="30" customFormat="1">
      <c r="A61" s="34" t="s">
        <v>57</v>
      </c>
      <c r="B61" s="26">
        <f>3132794589.2/1000</f>
        <v>3132794.5891999998</v>
      </c>
      <c r="C61" s="26">
        <f>3049440732.55/1000</f>
        <v>3049440.7325500003</v>
      </c>
      <c r="D61" s="15">
        <f t="shared" si="0"/>
        <v>97.339313054952484</v>
      </c>
      <c r="E61" s="28">
        <f>4565359993.71/1000</f>
        <v>4565359.9937100001</v>
      </c>
      <c r="F61" s="28">
        <f>4556047133.07/1000</f>
        <v>4556047.1330699995</v>
      </c>
      <c r="G61" s="29"/>
      <c r="H61" s="18">
        <f t="shared" si="1"/>
        <v>99.796010376994772</v>
      </c>
      <c r="I61" s="19">
        <f t="shared" si="2"/>
        <v>1506606.4005199992</v>
      </c>
      <c r="J61" s="20">
        <f t="shared" si="3"/>
        <v>149.40599056208404</v>
      </c>
    </row>
    <row r="62" spans="1:10" s="30" customFormat="1">
      <c r="A62" s="34" t="s">
        <v>58</v>
      </c>
      <c r="B62" s="26">
        <f>536899461.24/1000</f>
        <v>536899.46123999998</v>
      </c>
      <c r="C62" s="26">
        <f>520268745.41/1000</f>
        <v>520268.74541000003</v>
      </c>
      <c r="D62" s="15">
        <f t="shared" si="0"/>
        <v>96.902452501704815</v>
      </c>
      <c r="E62" s="28">
        <f>601855616.3/1000</f>
        <v>601855.61629999999</v>
      </c>
      <c r="F62" s="28">
        <f>590298001.29/1000</f>
        <v>590298.00128999993</v>
      </c>
      <c r="G62" s="29"/>
      <c r="H62" s="18">
        <f t="shared" si="1"/>
        <v>98.079669824956966</v>
      </c>
      <c r="I62" s="19">
        <f t="shared" si="2"/>
        <v>70029.255879999895</v>
      </c>
      <c r="J62" s="20">
        <f t="shared" si="3"/>
        <v>113.46020811317679</v>
      </c>
    </row>
    <row r="63" spans="1:10" s="30" customFormat="1" ht="36.75">
      <c r="A63" s="34" t="s">
        <v>59</v>
      </c>
      <c r="B63" s="26">
        <f>264000/1000</f>
        <v>264</v>
      </c>
      <c r="C63" s="26">
        <f>264000/1000</f>
        <v>264</v>
      </c>
      <c r="D63" s="15">
        <f t="shared" si="0"/>
        <v>100</v>
      </c>
      <c r="E63" s="28">
        <f>462000/1000</f>
        <v>462</v>
      </c>
      <c r="F63" s="28">
        <f>462000/1000</f>
        <v>462</v>
      </c>
      <c r="G63" s="29"/>
      <c r="H63" s="18">
        <f t="shared" si="1"/>
        <v>100</v>
      </c>
      <c r="I63" s="19">
        <f t="shared" si="2"/>
        <v>198</v>
      </c>
      <c r="J63" s="20">
        <f t="shared" si="3"/>
        <v>175</v>
      </c>
    </row>
    <row r="64" spans="1:10" s="30" customFormat="1">
      <c r="A64" s="34" t="s">
        <v>60</v>
      </c>
      <c r="B64" s="26">
        <f>58041062.25/1000</f>
        <v>58041.062250000003</v>
      </c>
      <c r="C64" s="26">
        <f>56892841.62/1000</f>
        <v>56892.841619999999</v>
      </c>
      <c r="D64" s="15">
        <f t="shared" si="0"/>
        <v>98.021709828372408</v>
      </c>
      <c r="E64" s="28">
        <f>142399718.52/1000</f>
        <v>142399.71852000002</v>
      </c>
      <c r="F64" s="28">
        <f>140806589.91/1000</f>
        <v>140806.58991000001</v>
      </c>
      <c r="G64" s="29"/>
      <c r="H64" s="18">
        <f t="shared" si="1"/>
        <v>98.881227697246985</v>
      </c>
      <c r="I64" s="19">
        <f t="shared" si="2"/>
        <v>83913.748290000018</v>
      </c>
      <c r="J64" s="20">
        <f t="shared" si="3"/>
        <v>247.4943875197493</v>
      </c>
    </row>
    <row r="65" spans="1:10" s="30" customFormat="1">
      <c r="A65" s="34" t="s">
        <v>61</v>
      </c>
      <c r="B65" s="26">
        <f>102802843.57/1000</f>
        <v>102802.84357</v>
      </c>
      <c r="C65" s="26">
        <f>102676889.23/1000</f>
        <v>102676.88923</v>
      </c>
      <c r="D65" s="15">
        <f t="shared" si="0"/>
        <v>99.877479712013766</v>
      </c>
      <c r="E65" s="28">
        <f>85767793.8/1000</f>
        <v>85767.793799999999</v>
      </c>
      <c r="F65" s="28">
        <f>84662295.74/1000</f>
        <v>84662.295740000001</v>
      </c>
      <c r="G65" s="29"/>
      <c r="H65" s="18">
        <f t="shared" si="1"/>
        <v>98.711056900241729</v>
      </c>
      <c r="I65" s="19">
        <f t="shared" si="2"/>
        <v>-18014.593489999999</v>
      </c>
      <c r="J65" s="20">
        <f t="shared" si="3"/>
        <v>82.455064985805464</v>
      </c>
    </row>
    <row r="66" spans="1:10" s="30" customFormat="1">
      <c r="A66" s="34" t="s">
        <v>62</v>
      </c>
      <c r="B66" s="26">
        <f>537596692.87/1000</f>
        <v>537596.69287000003</v>
      </c>
      <c r="C66" s="26">
        <f>478159757.68/1000</f>
        <v>478159.75767999998</v>
      </c>
      <c r="D66" s="15">
        <f t="shared" si="0"/>
        <v>88.943954459114778</v>
      </c>
      <c r="E66" s="28">
        <f>572302425.05/1000</f>
        <v>572302.42504999996</v>
      </c>
      <c r="F66" s="28">
        <f>501138252.56/1000</f>
        <v>501138.25255999999</v>
      </c>
      <c r="G66" s="29"/>
      <c r="H66" s="18">
        <f t="shared" si="1"/>
        <v>87.565285524732388</v>
      </c>
      <c r="I66" s="19">
        <f t="shared" si="2"/>
        <v>22978.494880000013</v>
      </c>
      <c r="J66" s="20">
        <f t="shared" si="3"/>
        <v>104.80561036576775</v>
      </c>
    </row>
    <row r="67" spans="1:10" s="30" customFormat="1">
      <c r="A67" s="34" t="s">
        <v>63</v>
      </c>
      <c r="B67" s="26">
        <f>518237492.87/1000</f>
        <v>518237.49287000002</v>
      </c>
      <c r="C67" s="26">
        <f>458800557.68/1000</f>
        <v>458800.55768000003</v>
      </c>
      <c r="D67" s="15">
        <f t="shared" si="0"/>
        <v>88.530946523988803</v>
      </c>
      <c r="E67" s="28">
        <f>544141625.05/1000</f>
        <v>544141.62504999992</v>
      </c>
      <c r="F67" s="28">
        <f>472977452.56/1000</f>
        <v>472977.45256000001</v>
      </c>
      <c r="G67" s="29"/>
      <c r="H67" s="18">
        <f t="shared" si="1"/>
        <v>86.921755437573665</v>
      </c>
      <c r="I67" s="19">
        <f t="shared" si="2"/>
        <v>14176.894879999978</v>
      </c>
      <c r="J67" s="20">
        <f t="shared" si="3"/>
        <v>103.08999076890572</v>
      </c>
    </row>
    <row r="68" spans="1:10" s="30" customFormat="1">
      <c r="A68" s="34" t="s">
        <v>64</v>
      </c>
      <c r="B68" s="26">
        <f>19359200/1000</f>
        <v>19359.2</v>
      </c>
      <c r="C68" s="26">
        <f>19359200/1000</f>
        <v>19359.2</v>
      </c>
      <c r="D68" s="15">
        <f t="shared" si="0"/>
        <v>100</v>
      </c>
      <c r="E68" s="28">
        <f>28160800/1000</f>
        <v>28160.799999999999</v>
      </c>
      <c r="F68" s="28">
        <f>28160800/1000</f>
        <v>28160.799999999999</v>
      </c>
      <c r="G68" s="29"/>
      <c r="H68" s="18">
        <f t="shared" si="1"/>
        <v>100</v>
      </c>
      <c r="I68" s="19">
        <f t="shared" si="2"/>
        <v>8801.5999999999985</v>
      </c>
      <c r="J68" s="20">
        <f t="shared" si="3"/>
        <v>145.46468862349684</v>
      </c>
    </row>
    <row r="69" spans="1:10" s="30" customFormat="1">
      <c r="A69" s="34" t="s">
        <v>65</v>
      </c>
      <c r="B69" s="26">
        <f>1254510024.6/1000</f>
        <v>1254510.0245999999</v>
      </c>
      <c r="C69" s="26">
        <f>1219310988.26/1000</f>
        <v>1219310.98826</v>
      </c>
      <c r="D69" s="15">
        <f t="shared" si="0"/>
        <v>97.194200472712595</v>
      </c>
      <c r="E69" s="28">
        <f>790814206.37/1000</f>
        <v>790814.20637000003</v>
      </c>
      <c r="F69" s="28">
        <f>749715531.82/1000</f>
        <v>749715.53182000003</v>
      </c>
      <c r="G69" s="29"/>
      <c r="H69" s="18">
        <f t="shared" si="1"/>
        <v>94.802992381908354</v>
      </c>
      <c r="I69" s="19">
        <f t="shared" si="2"/>
        <v>-469595.45643999998</v>
      </c>
      <c r="J69" s="20">
        <f t="shared" si="3"/>
        <v>61.486818296443857</v>
      </c>
    </row>
    <row r="70" spans="1:10" s="30" customFormat="1">
      <c r="A70" s="34" t="s">
        <v>66</v>
      </c>
      <c r="B70" s="26">
        <f>66304460/1000</f>
        <v>66304.460000000006</v>
      </c>
      <c r="C70" s="26">
        <f>66056323.88/1000</f>
        <v>66056.323879999996</v>
      </c>
      <c r="D70" s="15">
        <f t="shared" si="0"/>
        <v>99.625762550513173</v>
      </c>
      <c r="E70" s="28">
        <f>71427195.04/1000</f>
        <v>71427.195040000006</v>
      </c>
      <c r="F70" s="28">
        <f>71280862.04/1000</f>
        <v>71280.862040000007</v>
      </c>
      <c r="G70" s="29"/>
      <c r="H70" s="18">
        <f t="shared" si="1"/>
        <v>99.795129852266982</v>
      </c>
      <c r="I70" s="19">
        <f t="shared" si="2"/>
        <v>5224.538160000011</v>
      </c>
      <c r="J70" s="20">
        <f t="shared" si="3"/>
        <v>107.90921724540874</v>
      </c>
    </row>
    <row r="71" spans="1:10" s="30" customFormat="1">
      <c r="A71" s="34" t="s">
        <v>67</v>
      </c>
      <c r="B71" s="26">
        <f>112827380/1000</f>
        <v>112827.38</v>
      </c>
      <c r="C71" s="26">
        <f>110735199.63/1000</f>
        <v>110735.19962999999</v>
      </c>
      <c r="D71" s="15">
        <f t="shared" si="0"/>
        <v>98.14568026838873</v>
      </c>
      <c r="E71" s="28">
        <f>59547170.92/1000</f>
        <v>59547.170920000004</v>
      </c>
      <c r="F71" s="28">
        <f>59547170.92/1000</f>
        <v>59547.170920000004</v>
      </c>
      <c r="G71" s="29"/>
      <c r="H71" s="18">
        <f t="shared" si="1"/>
        <v>100</v>
      </c>
      <c r="I71" s="19">
        <f t="shared" si="2"/>
        <v>-51188.028709999984</v>
      </c>
      <c r="J71" s="20">
        <f t="shared" si="3"/>
        <v>53.774383501330405</v>
      </c>
    </row>
    <row r="72" spans="1:10" s="30" customFormat="1">
      <c r="A72" s="34" t="s">
        <v>68</v>
      </c>
      <c r="B72" s="26">
        <f>762368655.49/1000</f>
        <v>762368.65549000003</v>
      </c>
      <c r="C72" s="26">
        <f>755399782.53/1000</f>
        <v>755399.78252999997</v>
      </c>
      <c r="D72" s="15">
        <f t="shared" si="0"/>
        <v>99.08589198810634</v>
      </c>
      <c r="E72" s="28">
        <f>388792137.32/1000</f>
        <v>388792.13731999998</v>
      </c>
      <c r="F72" s="28">
        <f>376273472.8/1000</f>
        <v>376273.47279999999</v>
      </c>
      <c r="G72" s="29"/>
      <c r="H72" s="18">
        <f t="shared" si="1"/>
        <v>96.780113763026961</v>
      </c>
      <c r="I72" s="19">
        <f t="shared" si="2"/>
        <v>-379126.30972999998</v>
      </c>
      <c r="J72" s="20">
        <f t="shared" si="3"/>
        <v>49.811170389773928</v>
      </c>
    </row>
    <row r="73" spans="1:10" s="30" customFormat="1">
      <c r="A73" s="34" t="s">
        <v>69</v>
      </c>
      <c r="B73" s="26">
        <f>239512789.11/1000</f>
        <v>239512.78911000001</v>
      </c>
      <c r="C73" s="26">
        <f>214215151.4/1000</f>
        <v>214215.1514</v>
      </c>
      <c r="D73" s="15">
        <f t="shared" ref="D73:D89" si="4">C73/B73*100</f>
        <v>89.437876029917689</v>
      </c>
      <c r="E73" s="28">
        <f>197700378.95/1000</f>
        <v>197700.37894999998</v>
      </c>
      <c r="F73" s="28">
        <f>172123675.93/1000</f>
        <v>172123.67593</v>
      </c>
      <c r="G73" s="29"/>
      <c r="H73" s="18">
        <f t="shared" si="1"/>
        <v>87.062896310143884</v>
      </c>
      <c r="I73" s="19">
        <f t="shared" ref="I73:I89" si="5">F73-C73</f>
        <v>-42091.475470000005</v>
      </c>
      <c r="J73" s="20">
        <f t="shared" si="3"/>
        <v>80.350841107684602</v>
      </c>
    </row>
    <row r="74" spans="1:10" s="30" customFormat="1">
      <c r="A74" s="34" t="s">
        <v>70</v>
      </c>
      <c r="B74" s="26">
        <f>73496740/1000</f>
        <v>73496.740000000005</v>
      </c>
      <c r="C74" s="26">
        <f>72904530.82/1000</f>
        <v>72904.53082</v>
      </c>
      <c r="D74" s="15">
        <f t="shared" si="4"/>
        <v>99.194237485907536</v>
      </c>
      <c r="E74" s="28">
        <f>73347324.14/1000</f>
        <v>73347.324139999997</v>
      </c>
      <c r="F74" s="28">
        <f>70490350.13/1000</f>
        <v>70490.350129999992</v>
      </c>
      <c r="G74" s="29"/>
      <c r="H74" s="18">
        <f t="shared" ref="H74:H89" si="6">F74/E74*100</f>
        <v>96.104869477519287</v>
      </c>
      <c r="I74" s="19">
        <f t="shared" si="5"/>
        <v>-2414.1806900000083</v>
      </c>
      <c r="J74" s="20">
        <f t="shared" ref="J74:J89" si="7">F74/C74*100</f>
        <v>96.688572489464917</v>
      </c>
    </row>
    <row r="75" spans="1:10" s="30" customFormat="1">
      <c r="A75" s="34" t="s">
        <v>71</v>
      </c>
      <c r="B75" s="26">
        <f>230639368.4/1000</f>
        <v>230639.36840000001</v>
      </c>
      <c r="C75" s="26">
        <f>161646617.85/1000</f>
        <v>161646.61784999998</v>
      </c>
      <c r="D75" s="15">
        <f t="shared" si="4"/>
        <v>70.086307888970083</v>
      </c>
      <c r="E75" s="28">
        <f>447554131.56/1000</f>
        <v>447554.13156000001</v>
      </c>
      <c r="F75" s="28">
        <f>427287768.24/1000</f>
        <v>427287.76824</v>
      </c>
      <c r="G75" s="29"/>
      <c r="H75" s="18">
        <f t="shared" si="6"/>
        <v>95.471751484148001</v>
      </c>
      <c r="I75" s="19">
        <f t="shared" si="5"/>
        <v>265641.15039000002</v>
      </c>
      <c r="J75" s="20">
        <f t="shared" si="7"/>
        <v>264.33449330594829</v>
      </c>
    </row>
    <row r="76" spans="1:10" s="30" customFormat="1">
      <c r="A76" s="34" t="s">
        <v>72</v>
      </c>
      <c r="B76" s="26">
        <f>193378237.87/1000</f>
        <v>193378.23787000001</v>
      </c>
      <c r="C76" s="26">
        <f>127185812.95/1000</f>
        <v>127185.81295000001</v>
      </c>
      <c r="D76" s="15">
        <f t="shared" si="4"/>
        <v>65.770489146509675</v>
      </c>
      <c r="E76" s="28">
        <f>349131584.16/1000</f>
        <v>349131.58416000003</v>
      </c>
      <c r="F76" s="28">
        <f>332788033.06/1000</f>
        <v>332788.03305999999</v>
      </c>
      <c r="G76" s="29"/>
      <c r="H76" s="18">
        <f t="shared" si="6"/>
        <v>95.318799031224259</v>
      </c>
      <c r="I76" s="19">
        <f t="shared" si="5"/>
        <v>205602.22010999999</v>
      </c>
      <c r="J76" s="20">
        <f t="shared" si="7"/>
        <v>261.65499542848181</v>
      </c>
    </row>
    <row r="77" spans="1:10" s="30" customFormat="1">
      <c r="A77" s="34" t="s">
        <v>73</v>
      </c>
      <c r="B77" s="26">
        <f>17419026/1000</f>
        <v>17419.026000000002</v>
      </c>
      <c r="C77" s="26">
        <f>17319967.44/1000</f>
        <v>17319.96744</v>
      </c>
      <c r="D77" s="15">
        <f t="shared" si="4"/>
        <v>99.431319753469566</v>
      </c>
      <c r="E77" s="28">
        <f>82548237/1000</f>
        <v>82548.236999999994</v>
      </c>
      <c r="F77" s="28">
        <f>80773077.5/1000</f>
        <v>80773.077499999999</v>
      </c>
      <c r="G77" s="29"/>
      <c r="H77" s="18">
        <f t="shared" si="6"/>
        <v>97.849548864380964</v>
      </c>
      <c r="I77" s="19">
        <f t="shared" si="5"/>
        <v>63453.110059999999</v>
      </c>
      <c r="J77" s="20">
        <f t="shared" si="7"/>
        <v>466.35813710282588</v>
      </c>
    </row>
    <row r="78" spans="1:10" s="30" customFormat="1" ht="36.75">
      <c r="A78" s="34" t="s">
        <v>74</v>
      </c>
      <c r="B78" s="26">
        <f>19588271.19/1000</f>
        <v>19588.271190000003</v>
      </c>
      <c r="C78" s="26">
        <f>16890837.46/1000</f>
        <v>16890.837460000002</v>
      </c>
      <c r="D78" s="15">
        <f t="shared" si="4"/>
        <v>86.229342529334261</v>
      </c>
      <c r="E78" s="28">
        <f>15874310.4/1000</f>
        <v>15874.3104</v>
      </c>
      <c r="F78" s="28">
        <f>13726657.68/1000</f>
        <v>13726.65768</v>
      </c>
      <c r="G78" s="29"/>
      <c r="H78" s="18">
        <f t="shared" si="6"/>
        <v>86.470891233171301</v>
      </c>
      <c r="I78" s="19">
        <f t="shared" si="5"/>
        <v>-3164.1797800000022</v>
      </c>
      <c r="J78" s="20">
        <f t="shared" si="7"/>
        <v>81.26688633708514</v>
      </c>
    </row>
    <row r="79" spans="1:10" s="30" customFormat="1">
      <c r="A79" s="34" t="s">
        <v>75</v>
      </c>
      <c r="B79" s="26">
        <f>56074446.72/1000</f>
        <v>56074.44672</v>
      </c>
      <c r="C79" s="26">
        <f>55596488.38/1000</f>
        <v>55596.488380000003</v>
      </c>
      <c r="D79" s="15">
        <f t="shared" si="4"/>
        <v>99.147636101722739</v>
      </c>
      <c r="E79" s="28">
        <f>55725575.73/1000</f>
        <v>55725.575729999997</v>
      </c>
      <c r="F79" s="28">
        <f>54673051.69/1000</f>
        <v>54673.05169</v>
      </c>
      <c r="G79" s="29"/>
      <c r="H79" s="18">
        <f t="shared" si="6"/>
        <v>98.111237028577946</v>
      </c>
      <c r="I79" s="19">
        <f t="shared" si="5"/>
        <v>-923.43669000000227</v>
      </c>
      <c r="J79" s="20">
        <f t="shared" si="7"/>
        <v>98.339037739778917</v>
      </c>
    </row>
    <row r="80" spans="1:10" s="30" customFormat="1">
      <c r="A80" s="34" t="s">
        <v>76</v>
      </c>
      <c r="B80" s="26">
        <f>56074446.72/1000</f>
        <v>56074.44672</v>
      </c>
      <c r="C80" s="26">
        <f>55596488.38/1000</f>
        <v>55596.488380000003</v>
      </c>
      <c r="D80" s="15">
        <f t="shared" si="4"/>
        <v>99.147636101722739</v>
      </c>
      <c r="E80" s="28">
        <f>55725575.73/1000</f>
        <v>55725.575729999997</v>
      </c>
      <c r="F80" s="28">
        <f>54673051.69/1000</f>
        <v>54673.05169</v>
      </c>
      <c r="G80" s="29"/>
      <c r="H80" s="18">
        <f t="shared" si="6"/>
        <v>98.111237028577946</v>
      </c>
      <c r="I80" s="19">
        <f t="shared" si="5"/>
        <v>-923.43669000000227</v>
      </c>
      <c r="J80" s="20">
        <f t="shared" si="7"/>
        <v>98.339037739778917</v>
      </c>
    </row>
    <row r="81" spans="1:10" s="30" customFormat="1" ht="36.75">
      <c r="A81" s="34" t="s">
        <v>77</v>
      </c>
      <c r="B81" s="26">
        <f>1029654.8/1000</f>
        <v>1029.6548</v>
      </c>
      <c r="C81" s="26">
        <f>29654.8/1000</f>
        <v>29.654799999999998</v>
      </c>
      <c r="D81" s="15">
        <f t="shared" si="4"/>
        <v>2.8800720396777635</v>
      </c>
      <c r="E81" s="28">
        <f>2469018.75/1000</f>
        <v>2469.0187500000002</v>
      </c>
      <c r="F81" s="28">
        <f>1574470.61/1000</f>
        <v>1574.4706100000001</v>
      </c>
      <c r="G81" s="29"/>
      <c r="H81" s="18">
        <f t="shared" si="6"/>
        <v>63.769082758079499</v>
      </c>
      <c r="I81" s="19">
        <f t="shared" si="5"/>
        <v>1544.8158100000001</v>
      </c>
      <c r="J81" s="20">
        <f t="shared" si="7"/>
        <v>5309.3280345846215</v>
      </c>
    </row>
    <row r="82" spans="1:10" s="30" customFormat="1" ht="36.75">
      <c r="A82" s="34" t="s">
        <v>78</v>
      </c>
      <c r="B82" s="26">
        <f>1029654.8/1000</f>
        <v>1029.6548</v>
      </c>
      <c r="C82" s="26">
        <f>29654.8/1000</f>
        <v>29.654799999999998</v>
      </c>
      <c r="D82" s="15">
        <f t="shared" si="4"/>
        <v>2.8800720396777635</v>
      </c>
      <c r="E82" s="28">
        <f>2469018.75/1000</f>
        <v>2469.0187500000002</v>
      </c>
      <c r="F82" s="28">
        <f>1574470.61/1000</f>
        <v>1574.4706100000001</v>
      </c>
      <c r="G82" s="29"/>
      <c r="H82" s="18">
        <f t="shared" si="6"/>
        <v>63.769082758079499</v>
      </c>
      <c r="I82" s="19">
        <f t="shared" si="5"/>
        <v>1544.8158100000001</v>
      </c>
      <c r="J82" s="20">
        <f t="shared" si="7"/>
        <v>5309.3280345846215</v>
      </c>
    </row>
    <row r="83" spans="1:10" s="30" customFormat="1" ht="54.75">
      <c r="A83" s="34" t="s">
        <v>79</v>
      </c>
      <c r="B83" s="26">
        <f>3245069.62/1000</f>
        <v>3245.0696200000002</v>
      </c>
      <c r="C83" s="26">
        <v>0</v>
      </c>
      <c r="D83" s="15">
        <f t="shared" si="4"/>
        <v>0</v>
      </c>
      <c r="E83" s="28">
        <f>13448340.97/1000</f>
        <v>13448.340970000001</v>
      </c>
      <c r="F83" s="28">
        <v>0</v>
      </c>
      <c r="G83" s="29"/>
      <c r="H83" s="18">
        <f t="shared" si="6"/>
        <v>0</v>
      </c>
      <c r="I83" s="19">
        <f t="shared" si="5"/>
        <v>0</v>
      </c>
      <c r="J83" s="20">
        <v>0</v>
      </c>
    </row>
    <row r="84" spans="1:10" s="30" customFormat="1" ht="54.75">
      <c r="A84" s="34" t="s">
        <v>80</v>
      </c>
      <c r="B84" s="26">
        <v>0</v>
      </c>
      <c r="C84" s="26">
        <v>0</v>
      </c>
      <c r="D84" s="15">
        <v>0</v>
      </c>
      <c r="E84" s="28">
        <v>0</v>
      </c>
      <c r="F84" s="28">
        <v>0</v>
      </c>
      <c r="G84" s="29"/>
      <c r="H84" s="18">
        <v>0</v>
      </c>
      <c r="I84" s="19">
        <f t="shared" si="5"/>
        <v>0</v>
      </c>
      <c r="J84" s="20">
        <v>0</v>
      </c>
    </row>
    <row r="85" spans="1:10" s="30" customFormat="1" ht="37.5" thickBot="1">
      <c r="A85" s="34" t="s">
        <v>81</v>
      </c>
      <c r="B85" s="26">
        <f>3245069.62/1000</f>
        <v>3245.0696200000002</v>
      </c>
      <c r="C85" s="26">
        <v>0</v>
      </c>
      <c r="D85" s="15">
        <f t="shared" si="4"/>
        <v>0</v>
      </c>
      <c r="E85" s="28">
        <f>13448340.97/1000</f>
        <v>13448.340970000001</v>
      </c>
      <c r="F85" s="28">
        <v>0</v>
      </c>
      <c r="G85" s="29"/>
      <c r="H85" s="18">
        <f t="shared" si="6"/>
        <v>0</v>
      </c>
      <c r="I85" s="19">
        <f t="shared" si="5"/>
        <v>0</v>
      </c>
      <c r="J85" s="20">
        <v>0</v>
      </c>
    </row>
    <row r="86" spans="1:10" s="30" customFormat="1">
      <c r="A86" s="35" t="s">
        <v>82</v>
      </c>
      <c r="B86" s="36">
        <f>-1163779634.35/1000</f>
        <v>-1163779.6343499999</v>
      </c>
      <c r="C86" s="36">
        <f>94541385.95/1000</f>
        <v>94541.385949999996</v>
      </c>
      <c r="D86" s="15">
        <f t="shared" si="4"/>
        <v>-8.1236501447117799</v>
      </c>
      <c r="E86" s="37">
        <f>-1081592006.94/1000</f>
        <v>-1081592.00694</v>
      </c>
      <c r="F86" s="37">
        <f>42599858.37/1000</f>
        <v>42599.858369999994</v>
      </c>
      <c r="G86" s="29"/>
      <c r="H86" s="18">
        <f t="shared" si="6"/>
        <v>-3.9386254795393629</v>
      </c>
      <c r="I86" s="19">
        <f t="shared" si="5"/>
        <v>-51941.527580000002</v>
      </c>
      <c r="J86" s="20">
        <f t="shared" si="7"/>
        <v>45.059481561365871</v>
      </c>
    </row>
    <row r="87" spans="1:10">
      <c r="A87" s="38" t="s">
        <v>83</v>
      </c>
      <c r="B87" s="39">
        <f>1163779634.35/1000</f>
        <v>1163779.6343499999</v>
      </c>
      <c r="C87" s="39">
        <f>-94541385.95/1000</f>
        <v>-94541.385949999996</v>
      </c>
      <c r="D87" s="15">
        <f t="shared" si="4"/>
        <v>-8.1236501447117799</v>
      </c>
      <c r="E87" s="16">
        <f>1081592006.94/1000</f>
        <v>1081592.00694</v>
      </c>
      <c r="F87" s="16">
        <f>-42599858.37/1000</f>
        <v>-42599.858369999994</v>
      </c>
      <c r="G87" s="40"/>
      <c r="H87" s="18">
        <f t="shared" si="6"/>
        <v>-3.9386254795393629</v>
      </c>
      <c r="I87" s="19">
        <f t="shared" si="5"/>
        <v>51941.527580000002</v>
      </c>
      <c r="J87" s="20">
        <f t="shared" si="7"/>
        <v>45.059481561365871</v>
      </c>
    </row>
    <row r="88" spans="1:10">
      <c r="A88" s="41" t="s">
        <v>84</v>
      </c>
      <c r="B88" s="22"/>
      <c r="C88" s="22"/>
      <c r="D88" s="42"/>
      <c r="E88" s="22"/>
      <c r="F88" s="22"/>
      <c r="G88" s="40"/>
      <c r="H88" s="18" t="s">
        <v>98</v>
      </c>
      <c r="I88" s="19" t="s">
        <v>98</v>
      </c>
      <c r="J88" s="20" t="s">
        <v>98</v>
      </c>
    </row>
    <row r="89" spans="1:10">
      <c r="A89" s="43" t="s">
        <v>85</v>
      </c>
      <c r="B89" s="26">
        <f>206742858/1000</f>
        <v>206742.85800000001</v>
      </c>
      <c r="C89" s="26">
        <f>-757142/1000</f>
        <v>-757.14200000000005</v>
      </c>
      <c r="D89" s="15">
        <f t="shared" si="4"/>
        <v>-0.36622401727657267</v>
      </c>
      <c r="E89" s="25">
        <f>226272858/1000</f>
        <v>226272.85800000001</v>
      </c>
      <c r="F89" s="25">
        <f>124905858/1000</f>
        <v>124905.85799999999</v>
      </c>
      <c r="G89" s="40"/>
      <c r="H89" s="18">
        <f t="shared" si="6"/>
        <v>55.20143206924093</v>
      </c>
      <c r="I89" s="19">
        <f t="shared" si="5"/>
        <v>125663</v>
      </c>
      <c r="J89" s="20">
        <f t="shared" si="7"/>
        <v>-16497.018789077872</v>
      </c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petrova1</cp:lastModifiedBy>
  <cp:lastPrinted>2019-10-28T14:40:08Z</cp:lastPrinted>
  <dcterms:created xsi:type="dcterms:W3CDTF">2019-10-28T07:22:02Z</dcterms:created>
  <dcterms:modified xsi:type="dcterms:W3CDTF">2019-10-30T14:16:05Z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